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6830" windowHeight="15015" tabRatio="228" activeTab="0"/>
  </bookViews>
  <sheets>
    <sheet name="Data" sheetId="1" r:id="rId1"/>
  </sheets>
  <externalReferences>
    <externalReference r:id="rId4"/>
  </externalReferences>
  <definedNames/>
  <calcPr fullCalcOnLoad="1"/>
</workbook>
</file>

<file path=xl/comments1.xml><?xml version="1.0" encoding="utf-8"?>
<comments xmlns="http://schemas.openxmlformats.org/spreadsheetml/2006/main">
  <authors>
    <author> Mark McPeek</author>
  </authors>
  <commentList>
    <comment ref="L1" authorId="0">
      <text>
        <r>
          <rPr>
            <b/>
            <sz val="8"/>
            <rFont val="Tahoma"/>
            <family val="2"/>
          </rPr>
          <t xml:space="preserve"> Mark McPeek:</t>
        </r>
        <r>
          <rPr>
            <sz val="8"/>
            <rFont val="Tahoma"/>
            <family val="2"/>
          </rPr>
          <t xml:space="preserve">
This is the factor used to convert branch lengths recorded in the Newick formatted tree into the units of calibratino given in column M.  </t>
        </r>
      </text>
    </comment>
    <comment ref="N1" authorId="0">
      <text>
        <r>
          <rPr>
            <b/>
            <sz val="8"/>
            <rFont val="Tahoma"/>
            <family val="2"/>
          </rPr>
          <t xml:space="preserve"> Mark McPeek:</t>
        </r>
        <r>
          <rPr>
            <sz val="8"/>
            <rFont val="Tahoma"/>
            <family val="2"/>
          </rPr>
          <t xml:space="preserve">
This is the conversion factor to multiply the resulting branch lengths that have been converted to the units in column M into Millions of years.</t>
        </r>
      </text>
    </comment>
  </commentList>
</comments>
</file>

<file path=xl/sharedStrings.xml><?xml version="1.0" encoding="utf-8"?>
<sst xmlns="http://schemas.openxmlformats.org/spreadsheetml/2006/main" count="2451" uniqueCount="971">
  <si>
    <t>Identifier</t>
  </si>
  <si>
    <t>Reference</t>
  </si>
  <si>
    <t>Percentage of Taxa Sampled If Known</t>
  </si>
  <si>
    <t>Figure Digitized</t>
  </si>
  <si>
    <t>Molecules Sequenced</t>
  </si>
  <si>
    <t>Genome</t>
  </si>
  <si>
    <t>Fragment Length</t>
  </si>
  <si>
    <t>Method used to Construct Tree</t>
  </si>
  <si>
    <t>Substitution Model assumed</t>
  </si>
  <si>
    <t>Length of Calibration</t>
  </si>
  <si>
    <t>Calibration equivalent</t>
  </si>
  <si>
    <t>Calibration Factor</t>
  </si>
  <si>
    <t>Units of Calibration</t>
  </si>
  <si>
    <t>Conversion to Millions of Years</t>
  </si>
  <si>
    <t>Phylum</t>
  </si>
  <si>
    <t>Tree</t>
  </si>
  <si>
    <t>004_Pinho_etal_2006_MPE</t>
  </si>
  <si>
    <t>mtDNA</t>
  </si>
  <si>
    <t>Maximum Likelihood</t>
  </si>
  <si>
    <t>GTR+I+G</t>
  </si>
  <si>
    <t>substitutions/site</t>
  </si>
  <si>
    <t>Chordata</t>
  </si>
  <si>
    <t>(muralis:83.1,((((bocagei:32.2,hispanica_1:39.9):12.9,(carbonelli:37.0,hispanica_2:36.7):14.5):18.5,(hispanica:42.5,(vaucheri:53.8,hispanica:51.5):4.7):14.7):7.7,(hispanica_3:52.8,hispanica:64.1):9.0):2.5);</t>
  </si>
  <si>
    <t>3B</t>
  </si>
  <si>
    <t>mtDNA &amp; nuDNA</t>
  </si>
  <si>
    <t>Bayesian</t>
  </si>
  <si>
    <t>ND2 &amp; control region</t>
  </si>
  <si>
    <t>(((chrysomela:30.9,leucotis:17.1):21.3,(C_hamlini:32.5,((melanopsis:6.8,frater:8.2):3.9,(cinerascens:11.0,(castaneiventris:6.8,richardsii:3.5):4.0):1.2):16.3):15.3):9.6,(((((infelix:8.4,(guttula:4.4,trivirgatus:2.8):2.6):4.8,(barbatus:13.3,browni:11.7):0.5):5.5,trivirgatus:13.0):19.4,axillaris:43.0):3.8,(mandensis:27.2,verticalis:16.2):22.2):22.1);</t>
  </si>
  <si>
    <t>009_Poulakakis_etal_MPE</t>
  </si>
  <si>
    <t>cytB &amp; 16S</t>
  </si>
  <si>
    <t>Million years</t>
  </si>
  <si>
    <t>(((taurica:8.6,((milensis:5.8,gaigeae:5.8):1.9,melisellensis:7.7):0.9):1.4,(erhardii1:9.3,(peloponnesiaca:5.2,erhardii2:5.2):4.1):0.7):2.2,(sicula:9.5,muralis:9.5):2.7);</t>
  </si>
  <si>
    <t>010_Lecompte_etal_2005_MPE</t>
  </si>
  <si>
    <t>cytB &amp; IRBP</t>
  </si>
  <si>
    <t>none</t>
  </si>
  <si>
    <t>((M_yemeni:104.1,(M_fumatus:91.7,(S_albocaudata:32.2,M_albipes:32.2):59.6):12.5):7.4,((M_verheyeni:83.7,(M_coucha:49.0,M_erythroleucus:49.0):34.8):24.0,((Heimyscus:100.0,(M_pernanus:92.8,(H_stella:43.4,H_parvus:43.4):49.4):7.0):5.3,((M_verreauxi:73.2,(Zelotomys:48.9,Colomys:48.9):24.2):22.1,(M_verschureni:87.1,((P_petteri:32.3,P_tullbergi:32.3):42.9,((M_derooi:5.0,M_daltoni:5.0):65.1,(P_degraaffi:59.5,P_jacksoni:59.5):10.8):4.6):11.5):8.5):9.8):2.8):3.7);</t>
  </si>
  <si>
    <t>011_Donald_etal_2005_MPE</t>
  </si>
  <si>
    <t>Donald, K. M., M. Kennedy and H. G. Spencer. 2005. The phylogeny and taxonomy of austral monodontine topshells (Mollusca:Gastropoda: Trochidae), inferred from DNA sequences. Mol. Phylo. Evol. 37:474-483.</t>
  </si>
  <si>
    <t>1B</t>
  </si>
  <si>
    <t>16S, COI &amp; actin</t>
  </si>
  <si>
    <t>Mollusca</t>
  </si>
  <si>
    <t>(((((((((D_nigerrima:0,D_crusoeana:1.1):5.7,((D_arida:11.0,D_coracina:15.2):3.1,D_bicaneliculata:7.7):1.9):0.9,D_zelandica:7.6):1.6,(D_samoaensis:4.6,D_radula:8.0):9.9):1.6,D_concamerata:7.5):15.2,((((A_rudis:0.8,A_constricta:0.6):0.9,A_porcata:2.0):5.6,A_brevis:3.8):14.8,A_diminuta:24.5):15.5):7.6,(((M_confusa:4.5,M_labio1:4.4):5.6,M_perplexa:8.0):8.0,(M_canalifera:10.5,M_labio2:8.2):13.5):11.7):13.1,((C_odontis:1.9,C_crinita:0.9):8.0,C_adelaidae:4.8):22.2):11.3,(((((O_impervia:0,O_variegata:1.4):8.6,O_tabularis:6.3):8.0,O_tigrina:5.7):2.3,O_sinensis:4.3):24.6,O_lineatus:21.0):5.8);</t>
  </si>
  <si>
    <t>012_Doadrio&amp;Percides_2005_MPE</t>
  </si>
  <si>
    <t>cyt b</t>
  </si>
  <si>
    <t>((((((vettonica:11.2,palucida:9.7):0.6,victoriae:10.3):2.0,maroccana:19.0):1.6,paludica:18.8):15.5,calderoni:24.2):8.8,(zanandreai:28.2,bilineata:31.7):14.6);</t>
  </si>
  <si>
    <t>013_PerezEman_2005_MPE</t>
  </si>
  <si>
    <t>cyt b, ND2, ND3</t>
  </si>
  <si>
    <t>(((((((M_albifacies:35.0,((M_cardonai:1.9,M_castaneocapillis2:4.6):16.8,M_castaneocapillus1:20.0):8.1):2.0,M_pariae:35.6):5.2,M_flavivertex:36.4):2.5,(M_torquatus:47.5,((M_melanocephalus2:11.5,(M_melanocephalus1:5.6,M_ornatus:5.6):2.0):20.2,M_albifrons:23.7):10.0):1.5):1.9,M_brunniceps:38.6):9.5,M_miniatus:56.9):13.3,M_pictus:68.4);</t>
  </si>
  <si>
    <t>014_Skinner_etal_2005_MPE</t>
  </si>
  <si>
    <t>ND4, tRNA</t>
  </si>
  <si>
    <t>(((((((nuchalis:8.1,machalis:9.2):10.6,affinis:11.2):2.2,(nuchalis:5.9,inframacula:4.2):7.7):2.8,texilis:17.4):4.8,ingrami:19.2):12.6,modesta:33.1):4.8,gullatis:19.7);</t>
  </si>
  <si>
    <t>016_Arias&amp;Sheppard_2005_MPE</t>
  </si>
  <si>
    <t>Arias, M. C., and W. S. Sheppard. 2005. Phylogenetic relationships of honey bees (Hymenoptera:Apinae:Apini) inferred from nuclear and mitochondrial DNA sequence data. Mol. Phylo. Evol. 37:25-35.</t>
  </si>
  <si>
    <t>ND2 &amp; EF1-alpha</t>
  </si>
  <si>
    <t>Neighbor Joining</t>
  </si>
  <si>
    <t>Arthropoda</t>
  </si>
  <si>
    <t>(((((((cerana2:4.3,nuluens:8.3):1.2,nigroc:6.0):0.6,cerana1:4.4):2.3,kosche:13.3):11.0,mellif:30.7):4.4,(labor:16.6,(bingha:0.8,dorsat:10.3):20.8):10.2):4.5,(andren:36.9,florea:16.0):9.0);</t>
  </si>
  <si>
    <t>017_Wu_etal_2005_MPE</t>
  </si>
  <si>
    <t>cyt b, ND4, 12S</t>
  </si>
  <si>
    <t>((comus:19.2,oiostolus:11.1):4.1,(((((((melainus:2.2,mandschuricus:4.5):10.7,yarkdensis:26.6):9.4,timidus2:5.7):15.6,capensis:10.5):2.3,timidus1:10.7):8.1,sinensis:20.4):3.9,hainanus:22.0):2.4);</t>
  </si>
  <si>
    <t>018_Bonacum_etal_2005_MPE</t>
  </si>
  <si>
    <t>16S, COII &amp; Adh, Gpdh, Yp1, Yp2</t>
  </si>
  <si>
    <t>(((((((hanaulae:6.4,ingens:12.1):6.0,((cyrtoloma:4.5,melanocephala:6.5):3.3,obscuripes:6.5):4.4):3.0,neoperkinsi:8.5):9.6,oahuensis:22.5):7.5,((nigribasis:14.7,neopicta:17.8):1.9,substenoptera:17.4):6.4):5.9,(hemipeza:21.7,((silvestris:7.7,heteroneura:3.1):10.2,(differens:8.1,planitibia:4.8):6.1):10.0):12.2):5.8,(picticornis:46.7,setosifrons:47.6):17.9);</t>
  </si>
  <si>
    <t>019_McKenna&amp;Farrell_2005_MPE</t>
  </si>
  <si>
    <t>COI, COII, cyt b</t>
  </si>
  <si>
    <t>((((((((((((C_belti2:2.2,C_quadrilineata:4.2):3.9,(C_belti:6.1,C_luctuosa:5.7):5.0):6.5,C_alternans:12.3):4.2,(((C_fulvicollis:0.5,C_immaculata:1.4):0.5,C_adusta:0):14.5,C_instabilis:15.6):2.8):4.2,(((C_marginella:11.5,C_ornatrix:10.2):3.4,C_stenosoma:15.7):4.0,C_bella:18.8):4.2):1.6,C_suaveola:14.2):3.2,(C_apicata:14.2,C_species136:11.8):7.8):4.3,((((C_antennalis:1.1,C_gilvipes:0.6):1.6,C_flava:4.0):5.9,C_lepida:6.0):10.2,C_distincta:17.1):15.6):4.5,((((C_fenestrata:28.8,C_heliconiae:29.3):4.1,(((C_partita:5.2,C_unctula:6.0):6.6,(C_reventazonica:0,C_nigropicta:0):11.5):6.1,C_gratiosa:13.9):7.0):3.7,((C_leucoxantha:0.7,C_championi:1.2):1.5,C_consanguinea:2.8):20.2):3.9,C_erichsonii:28.3):3.0):2.3,(((((((((((C_suturalis:0.9,C_deficiens:2.5):21.1,C_trivittata2:17.7):3.8,(C_histrionica2:10.2,C_histrio:31.2):5.1):5.7,(C_deficiens:17.2,C_histrionica:16.6):8.5):1.6,C_species181:26.7):4.0,C_trivittata:23.0):1.7,((((C_saliei:6.6,C_congener:5.8):5.0,C_pretiosa:12.6):12.1,(C_trimaculata:4.0,C_tetraspilota:5.5):18.4):7.3,C_stevensi:31.8):4.9):4.9,C_sernivittata:17.2):3.0,((((((C_uhmanii:0,C_metallescens:1.0):3.6,C_schmidti:2.7):7.9,(C_fulvolimbata:1.0,C_splendida:0.9):15.4):2.5,C_ruficollis:12.8):2.7,C_sagittifera:26.0):1.1,C_dorsalis:23.0):2.0):4.7,C_species60:29.5):3.2,C_dilaticollis:41.6):3.7):3.5,((((C_placida:0,C_nigircornis:0):2.1,C_mauliki:0.9):6.9,C_erichsonii:7.0):16.0,C_puichella:28.7):5.2):4.3,(((((C_exigua:10.1,D_species175:7.0):14.7,C_lata:28.5):5.8,(P_columica:26.7,I_rufiventre:21.8):6.2):1.6,C_aequilata2:22.4):3.1,(((((C_cyanea:3.2,C_gilvipes:2.1):17.5,C_species114:20.4):9.9,C_species113:33.1):4.2,C_irregularis:19.1):2.0,C_aequilata:26.8):4.9):3.0);</t>
  </si>
  <si>
    <t>020_VanRiel_etal_2005_MPE</t>
  </si>
  <si>
    <t>16S, COI &amp; ITS</t>
  </si>
  <si>
    <t>(((LAF:36.7,(LAE:46.2,LAW:36.0):15.0):9.8,LM:36.9):23.5,((HS:18.6,((LD:5.7,LP:5.7):7.7,(LT:5.4,LG:3.0):3.8):7.3):4.3,LC:32.9):21.6);</t>
  </si>
  <si>
    <t>021_Allegrucci_etal_2005_MPE</t>
  </si>
  <si>
    <t>COI. 16S</t>
  </si>
  <si>
    <t>(linderi:38.1,((ligustica:43.5,(laetitiae:36.9,geniculata:31.4):4.3):3.9,(capreensis:27.9,palpata:27.9):20.9):1.5,(((baccetti:35.6,aegilion:37.3):2.3,schiavazzi:55.4):1.9,(bormansi:33.6,cymensis:32.7):7.7):10.8);</t>
  </si>
  <si>
    <t>022_Shull_etal_2005_MPE</t>
  </si>
  <si>
    <t>COI, 16S, 12S &amp; 28S</t>
  </si>
  <si>
    <t>TVM+I+G</t>
  </si>
  <si>
    <t>((fleckeri:3.5,robertsi:10.8):35.8,(australasiensis:9.6,(maidae:18.9,(polyselosus:11.0,((garnillaroi:14.2,spinichellsius:7.5):4.4,((hystricosus:1.2,urospinosus:0.0):12.3,sulcatus:14.7):6.0,((clarkae:13.1,suttoni:15.4):1.6,(((vallentulus:0,sulcatus:0):5.8,(dangadi:5.8,gurnar:8.3):2.7):9.2,(mirangudjin:11.0,neohirsutus:10.8):1.5):2.3):1.6):1.4):4.2,(reducius:22.0,(((jagara:14.5,(urospinosus:11.5,setosus:5.3):5.8):1.3,((monteithorum:13.5,eungella:13.1):1.2,(bindal:14.7,(yigara:10.9,balanensis:19.1):6.4):0.8):1.2):3.4,((kershawi:8.2,woiwuru:16.5):3.5,((diversus:12.3,bidawalus:12.5):6.0,((crassus:6.6,rieki:5.2):4.9,((dharawalus:7.0,((brachythorax:5.4,daytoni:4.2):2.0,guwinus:5.0,yanga:4.1):1.2):2.2,(((bispinosus:3.6,yarraensis:2.9):0.4,(armatus:0.7,crassus:0):3.7):4.9,(species:3.9,spinifer:4.1):3.1):2.7):2.5):1.4):2.1):5.5):1.9):1.6):2.1):8.3);</t>
  </si>
  <si>
    <t>023_Heinze_etal_2005_MPE</t>
  </si>
  <si>
    <t>COII, 16S</t>
  </si>
  <si>
    <t>(argenitina:68.0,(minutior:58.8,((((batesii:3.9,nigra:7.3):22.4,(((ulianini:7.0,sahlbergi:5.2):3.5,(elegans:9.8,bulgarica:8.5):4.1):18.4,(koshewnikovi:14.1,stambuloffii:17.7):21.3):3.9):8.5,(atalanta:26.6,(mauritanica:10.2,(kagutsuchi:5.4,strigifrons:5.4):9.1):7.7):17.3):14.5,(emeryi:63.5,(wroughtonii:0.9,obscurior:1.8):57.6):7.5):8.5):10.0);</t>
  </si>
  <si>
    <t>025.1_Eberhard_Bermingham_1_MPE</t>
  </si>
  <si>
    <t>ATPase6, ATPase8, COI, cyt b</t>
  </si>
  <si>
    <t>TIM+I+G</t>
  </si>
  <si>
    <t>((((vulturina:0.572,caica:0.546):0.262,(aurantiigena:0.589,barrabandi:0.5):0.644):0.753,((coccinicolaris:0.43,haematotis:0.209):0.543,pulchra:0.978):0.425):2.05,pineata:4.212);</t>
  </si>
  <si>
    <t>025.2_Eberhard_Bermingham_2_MPE</t>
  </si>
  <si>
    <t>((bailloni:1.269,(viridis:0.509,(humboldti:0.128,inscriptus:0.157):0.190):0.70):0.5,(((aracari:0.425,(castanotis:0.292,pluricinctus:0.234):0.063):0.177,((beauhamaesil:0.326,biforquatus:0.346):0.271,(flavirostris:0.126,mariae:0.049):0.214):0.123):0.302,(torquaus:0.272,(frantzii:0.255,(erythropygius:0.062,sanguineus:0.024):0.102):0.117):0.763):0.165);</t>
  </si>
  <si>
    <t>026_Garcia_Moreno_etal_MPE</t>
  </si>
  <si>
    <t>ND5, cytB &amp; AK-5, c-mos</t>
  </si>
  <si>
    <t>HKY+I+G</t>
  </si>
  <si>
    <t>((((((calolaema:0.12,cinereicauda:0.06):0.06,castaneoventris:0.143):0.562,(sybillae:0.743,viridipallens:0.804):0.076):0.452,((amathystinus:0.06,margaritae:0.060):0.266,salvini:0.14):0.828):0.036,clemenciae:1.306):0.554,hemileucus:2.623);</t>
  </si>
  <si>
    <t>027_Morse_Farrell_2005_MPE</t>
  </si>
  <si>
    <t>COI</t>
  </si>
  <si>
    <t>HKY85+I+G</t>
  </si>
  <si>
    <t>(((limbatusA:2.784,beali:2.065):0.59,limbatusB:2.553):1.086,limbatusC:4.438);</t>
  </si>
  <si>
    <t>028_Olsson_etal_MPE</t>
  </si>
  <si>
    <t>cyt b, 12S &amp; myoglobin intron II</t>
  </si>
  <si>
    <t>((((((((davisoni:0.155,halnanus:0.093):0.105,(xanthoschistos:0.285,davisoni:0.235):0.037):0.09,(((poliocephalus:0.246,amoenus:0.209):0.08,sarasinorum:0.23):0.01,trivirgatus:0.28):0.09,presbytes:0.23,trivirgatus:0.258):0.750,(reguloides:0.67,occipatalis:0.375):0.27):0.069,(ricketti:0.193,cantator:0.22):0.665):0.26,((((tenellipes:0.126,borealoides:0.27):0.35,magnirostris:0.529):0.126,borealis:0.69):0.259,((trochiloides:0.092,plumbeitarsus:0.168):0.085,nitidus:0.327):0.932,emeiensis:0.756):0.068):0.08,(((umbrovirens:0.777,ruficapilla:0.25):0.442,(whistleri:0.713,pollogenys:0.75):0.362):0.084,((coronatus:0.365,ijimae:0.648):0.234,cebuensis:0.622):0.46):0.12,castaniceps:1.242):0.414,((((trochilus:0.71,collybita:0.609):0.559,schwarzi:1.333,tytleri:1.187):0.25,orientalis:1.742):0.076,((proregulus:0.545,inornatus:1.143):0.114,maculipennis:0.888):0.328):0.288);</t>
  </si>
  <si>
    <t>029_Silva_Brandao_etal_MPE</t>
  </si>
  <si>
    <t>COI., COII &amp; EF-1a</t>
  </si>
  <si>
    <t>((agavus:1.162,(proneus:1.97,(ascanius:0.255,unichus:0.651):1.424):0.101):0.097,((chabrias:1.419,(childrenae:0.82,(photinus:0.57,(sesosris:0.287,(vertumnus:0.244,anchises:0.287):0.111):0.288):0.304):0.393):0.189,((tros:0.586,aeneas:0.675):0.132,((lysander:0.272,panthonics:0.163):0.308,(neophilus:0.408,(eurimedes:0.182,zacynthus:0.147):0.062):0.241):0.231):0.579):0.197);</t>
  </si>
  <si>
    <t>030_Sota_etal_MPE</t>
  </si>
  <si>
    <t>16S, ND5 &amp; PepCK</t>
  </si>
  <si>
    <t>(((((((((sp_Cooloola:0.213,subtropicus:0.213):0.081,tropicus:0.294):0.079,transitus:0.373):0.145,opacus:0.5):0.362,((alternans:0.579,sp_Kroombit:0.579):0.09,viridis:0.68):0.189):0.111,elegans:0.98):0.241,(brisbanensis:0.824,macleayi:0.824):0.369):0.871,(pradieri:1.557,guerinii:1.54):0.516):0.431,punctatus:2.49);</t>
  </si>
  <si>
    <t>031_Takacs_etal_MPE</t>
  </si>
  <si>
    <t>ND3, ND4</t>
  </si>
  <si>
    <t>(((((lar:0.56,((moloch:0.55,klossii:0.677):0.131,(agilis:0.458,muelleri:0.62):0.015):0.067):0.113,pileatus:0.506):0.369,syndactylus:1.011):0.103,(((gabriellae:0.439,leucogenys:0.347):0.182,concolor:0.279):0.089,sp_cf_nasutus:0.383):0.768):0.114,hoolock:0.76);</t>
  </si>
  <si>
    <t>032_Veyrunes_etal_MPE</t>
  </si>
  <si>
    <t>cyt b &amp; IRBP</t>
  </si>
  <si>
    <t>((platythrix:1.221,((cervicolor:0.831,(musculus:0.421,sprehes:0.484):0.5):0.3,(setulosus:0.88,((sp1:0.782,(mattheyi:0.475,minutoides:0.612):0.104):0.087,(minusoides:0.716,indutus:0.815):0.15):0.345):0.763):0.104):0.02,(pahari:0.56,crociduroides:0.68):0.79);</t>
  </si>
  <si>
    <t>033_Wilson_Lee_MPE</t>
  </si>
  <si>
    <t xml:space="preserve">16S </t>
  </si>
  <si>
    <t>(((ambiguus:0.895,alternata:2.442):0.64,(luarna:0.51,(laevis:0.538,luteomarginata:0.427):0.316):1.001):0.49,((lochi:0.195,((quadricolor:0.447,strigata:0.366):0.1,(kuiteri:0.33,(magnifica:0.23,(aspersa:1.023,striatella:0.255):0.07):0.099):0.15):0.143):0.78,((luteorosea:0.535,(krohni:0.539,purpurea:0.672):0.449):0.61,((collingwoodi:0.409,kunlei:0.496):0.312,((roboi:0.229,(leopardus:0.462,geometrica:0.398):0.276):0.588,((splendida:0.625,daphne:0.507):0.153,(tasmaniensis:0.281,epicurea:0.281):0.465):0.315):0.181):0.166):0.512):0.445);</t>
  </si>
  <si>
    <t>034_Yokoyama_Goto_MPE</t>
  </si>
  <si>
    <t>12S, control region</t>
  </si>
  <si>
    <t>((aleuticus:0.477,((kesslerii:0.882,cognatus:0.519):0.144,gobio:0.34):0.119):0.138,(poecilopus:1.122,((reinii:0.487,pollux:0.777):0.35,czerskii:0.678):0.169):0.138,((amblystomaopsis:0.319,nozawae:0.552):0.506,(hangiongensis:0.535,koreanus:0.585):0.206):0.317);</t>
  </si>
  <si>
    <t>035_Ayoub_etal_MPE</t>
  </si>
  <si>
    <t>COI, 16S</t>
  </si>
  <si>
    <t>TrN+I+G</t>
  </si>
  <si>
    <t>(((((oklahoma:0.593,(((spatula:0.21,aleenae:0.183):0.251,sp_nov:0.371):0.09,aperta:0.617):0.109):0.042,longistylus:1.132):0.189,(((potteri:0.1,pensylvanica:0.059):0.03,emertoni:0.117):0.058,kastoni:0.062):0.221):0.058,naevia:0.335):0.558,(utahana:0.246,oregonensis:0.158):0.711);</t>
  </si>
  <si>
    <t>036_Barber&amp;Bellwood_2005_MPE</t>
  </si>
  <si>
    <t>COI, 16S, 12S</t>
  </si>
  <si>
    <t>(((((((T_lunare:0.351,(T_lutescens:0.382,(T_quinquevittatum:0.294,T_hardwicke:0.294):0.496):0.348):1.873,H_maculipinna:1.386):0.260,(((M_negrosensis:0.618,M_choati:0.507):0.052,M_meleagris:0.454):0.880,((((((H_prosopeion:0.296,(C_aurilineata:0.480,C_pictoides:0.451):0.152):0.109,H_solorensis:0.708):0.679,((H_marginatus:0.742,H_melanurus:0.410):0.117,(((H_binotopsis:0.654,H_papilionaceus:0.654):0.245,((H_argus:0.870,H_leucurus:0.700):0.094,H_nigrescens:1.153):0.055):0.110,H_richmondi:0.780):0.037):0.655):0.137,H_brownfieldi:1.215):0.253,(((H_melasmapomus:0.494,H_ornatissimus:0.411):0.151,H_chrysus:1.042):0.129,H_biocellatus:0.539):0.896):0.159,((C_batuensis:0.841,(H_podostigma:0.299,H_chloropterus:0.446):0.657):0.591,(H_miniatus:0.892,(H_margaritaceus:0.527,H_nebulosus:0.493):0.391):0.521):0.524):0.294):0.260):0.194,(((C_gaimard:0.568,(P_heteroptera:0.218,P_yamashiroi:0.410):0.444):0.690,((C_picta:0.677,(C_aygula:0.410,C_flavovittata:0.514):0.335):0.214,C_dorsomacula:1.287):0.198):0.147,(H_doliatus:0.0,H_annulatus:0.078):1.515):0.250):0.071,L_unilineata:1.662):0.052,((L_cyanopleura:2.028,H_hartzfeldii:1.454):0.591,((((H_dispilus:0.247,H_pictus:0.558):0.137,H_socialis:0.470):0.452,((H_nicholsi:0.201,(H_bivittatus:0.329,((H_radiatus:0.209,H_garnoti:0.264):0.039,H_poeyi:0.272):0.051):0.067):0.108,H_notospilus:0.300):0.306):0.381,H_semicinctus:0.864):0.482):0.069):0.09,(H_hortulanus:2.074,(H_scapularis:0.320,H_trimaculatus:0.411):0.795):0.386);</t>
  </si>
  <si>
    <t>037_Barker_etal_2004_MPE</t>
  </si>
  <si>
    <t>ITS</t>
  </si>
  <si>
    <t>nuDNA</t>
  </si>
  <si>
    <t>?</t>
  </si>
  <si>
    <t>Magnoliophyta</t>
  </si>
  <si>
    <t>((((ericifolium:0.158,((dregei:0.0,album:0.11):0.11,singulare:0.332):0.119):0.444,(((lanigerum:0.0,flexuosum:0.0,salignum:0.0,discolor:0.056):0.112,modestum:0.214):0.277,nervosum:0.41):0.056):0.085,(((((stellare:0.0,(levisanus:0.0,thymifolium:0.0):0.106):0.11,brunoiodes:0.0,galpinii:0.0):0.063,linifolium:0.211,verticillatum:0.211):0.272,(laxum:0.0,corymbosum:0.0):0.765):0.107,((((daphnoides:0.0,barkerae:0.0,(tinctum:0.0,elimense:0.0):0.07,burchelli:0.0):0.071,sessile:0.057,chamalaea:0.0):0.154,(loranthifolium:0.052,meyerianum:0.0,roodii:0.0,glaberrimum:0.0):0.055):0.226,((sericeum:0.0,nitidum:0.059):0.212,(pondoense:0.49,(floridum:0.0,(maxowanii:0.229,salicifolium:0.057):0.161):0.106,(laureolum:0.27,(loeriensis:0.264,xanthoconus:0.114):0.047,(spiddifoliuum:0.0,coniferum:0.0,conidum:0.0,meridianum:0.0,strobilium:0.0):0.06,gandogeri:0.0,microcephalum:0.0,(eucalypterfolium:0.169,uliginosum:0.113):0.065,spissifolium:0.0):0.109):0.274):0.066):0.063):0.062):0.082,osbornei:0.0,nobile:0.0,((argenteum:0.312,rubrum:0.05,(arcuatum:0.12,dubium:0.1):0.057):0.103,(((platyspermum:0.166,immoderatum:0.124,comosum:0.266):0.124,teretifolium:0.325):0.064,muirii:0.058):0.075):0.16);</t>
  </si>
  <si>
    <t>038_Burns_Naoki_2004_MPE</t>
  </si>
  <si>
    <t>cyt b, ND2</t>
  </si>
  <si>
    <t>((ruficervix:1.776,((cyanoptera:0.82,(viridicollis:0.224,(argyrofenges:0.063,heinei:0.095):0.177):0.931):0.602,((palmeri:2.69,(meyerdeschauenseei:0.526,(cayana:0.099,(vitriolina:0.296,cucullata:0.192):0.095):0.456):1.312):0.267,((nigrocincta:0.53,(larvata:0.642,cyanicollis:0.733):0.31):0.872,(varia:1.117,(guttata:1.321,(rufigula:1.308,(xanthogastra:0.884,punctata:1.574):0.22):0.134):0.308):0.854):0.17):0.193):0.283):0.706,((vassorii:1.396,((dowii:1.054,fucosa:1.47):0.376,nigroviridis:1.384):0.52):1.35,(labradondes:3.233,(cyanotis:2.351,(((inornata:0.893,mexicana:1.093):1.242,(chilensis:0.849,(callophrys:0.383,velia:0.48):0.352):1.111):0.226,((chrysotis:1.432,(xanthocephala:1.687,(parzudakii:1.54,(schrankii:0.966,(johannae:1.536,(arthus:1.457,(florida:0.87,icterocephala:0.781):0.316):0.546):0.26):0.244):0.243):0.373):0.432,(((desmaresti:0.647,cyanocephala:0.447):0.164,(seledon:0.522,fastuosa:0.402):0.603):0.804,(lavinia:1.058,gyrola:1.254):1.321):0.15):0.127):0.257):0.3):0.226):0.39);</t>
  </si>
  <si>
    <t>040_Cardenas_etal_MPE</t>
  </si>
  <si>
    <t>TrN+I</t>
  </si>
  <si>
    <t>((((murphyi:0.809,symmetricus:0.809):1.454,picturatus:2.263):2.479,(trachurus:0.67,capensis:0.67):4.056):0.169,((lathami:1.224,trecae:1.224):2.958,(mediterraneus:3.944,(declivis:1.587,(japonicus:1.232,novaezelandiae:1.232):0.355):2.367):0.254):0.729);</t>
  </si>
  <si>
    <t>041_Carranza_Arnold_etal_2004_MPE</t>
  </si>
  <si>
    <t>cyt b, 12S, 16S</t>
  </si>
  <si>
    <t>(abuakeri:0.516,((cucullatus:0.215,mauritanicus:0.215):0.67,((cucullatus:0.32,brevis_brevis:0.342):0.085,brevis_ibericus:0.14):0.44):0.096);</t>
  </si>
  <si>
    <t>042_Doadrio_Carmona_MPE</t>
  </si>
  <si>
    <t>(sp_e:2.81,soetta:2.81,(wilkommii:1.257,polylepis:1.257,duriense:1.257):1.553,genei:2.81,(sp_b:1.67,(arcasii:0.577,macrolepidotus:0.577):1.101):1.14,(regium:1.305,(oxyhinchum:1.08,((cyri:0.579,(prespense:0.375,vardarense:0.375):0.207):0.246,(nasus:0.709,(holmwoodii:0.551,meandrense:0.551):0.166):0.124):0.257):0.225):1.5,(toxostoma:0.782,(miegii:0.435,(arrigonis:0.378,turiense:0.378):0.068):0.35):2.025,(lusitanicum:1.668,(sp_d:1.513,(sp_c:0.983,lemmingii:0.983):0.542):0.177):1.139);</t>
  </si>
  <si>
    <t>044_Froufe_Weiss_MPE</t>
  </si>
  <si>
    <t>3A</t>
  </si>
  <si>
    <t>control region, ATPase 6</t>
  </si>
  <si>
    <t>(((grubii:1.219,orange_spot_form:1.305):2.487,lower_Amur_form:3.502):0.204,(large_scale_form:1.948,(((arcticus:0.525,nigrescens:0.216):0.437,(arcticus:0.952,brevirostris:1.382):0.323):0.616,arcticus:2.464):0.704):0.663,thymallus:4.009);</t>
  </si>
  <si>
    <t>045_Garrigues_etal_2005_MPE</t>
  </si>
  <si>
    <t>(ammodytes:3.733,((ursinii:1.713,(seoanei:1.245,berus:0.612):0.101):1.012,(latastei:2.127,aspis:1.343):1.236):0.369);</t>
  </si>
  <si>
    <t>047_Goropashnaya_etal_2004_MPE</t>
  </si>
  <si>
    <t>cyt b, ND1</t>
  </si>
  <si>
    <t>(((lugubris:0.234,pratensis:0.234,aquilonia:0.234):2.586,pratensis:2.56):0.996,(polyctena:0.222,rufa:0.222):1.816);</t>
  </si>
  <si>
    <t>048_Hillis_Wilcox_2005_MPE</t>
  </si>
  <si>
    <t>12S, 16S</t>
  </si>
  <si>
    <t>((temporaria:1.122,((boylii:0.777,luteiventris:0.388):0.108,(muscosa:0.312,(aurora:0.202,cascadae:0.229):0.195):0.263):0.118):0.55,((sylvatica:0.805,((septentrionalis:0.426,(grylio:0.767,((okaloosae:0.07,clamitans:0.077):0.136,(heckscheri:0.38,catesbaeiana:0.328):0.043):0.085):0.047):0.1,vigratipes:0.557):0.565):0.198,(((maculata:0.95,(vibicaria:0.712,warszewitschii:1.254):0.937):0.221,(((palmipes:1.485,sp_1:0.21):0.122,bwana:0.365):0.207,(vaillanti:0.952,juliani:0.78):0.191):0.894):0.269,((sierramadrensis:1.43,((psilonota:1.018,zweifeli:0.719):0.219,(tarahumarae:0.421,pustulosa:1.081):0.183):0.53):0.37,((pipiens:0.407,((dunni:0.132,montezumae:0.225):0.211,(sp_2:0.251,(chiracahuensis:0.288,sumaquavocalis:0.098):0.123):0.071):0.277):0.443,((palustris:0.303,(areolata:0.463,(sevosa:0.025,capito:0.115):0.286):0.115):0.197,(((spectabilis:0.558,(orniltemana:0.707,sp_3:0.391):0.05):0.032,((((flaloci:0.03,neovolcanica:0.0):0.05,berlandieri:0.072):0.088,blairi:0.085):0.306,(sphenocephala:0.205,utricularia:0.127):0.222):0.065):0.079,(forreri:0.68,(((magnaocularis:1.046,sp_7:0.715):0.227,((yavapaiensis:0.09,onca:0.09):0.301,sp_8:0.893):0.069):0.071,((macroglossa:0.316,taylori:0.676):0.166,((sp_4:0.221,sp_5:0.383):0.06,sp_6:0.4):0.073):0.092):0.033):0.066):0.369):0.087):1.104):0.11):0.4):0.131);</t>
  </si>
  <si>
    <t>049_Hundsdoerfer_etal_2005_MPE</t>
  </si>
  <si>
    <t>4B</t>
  </si>
  <si>
    <t>COI, COI</t>
  </si>
  <si>
    <t>(lineata:0.912,((euphorbiarum:0.398,annei:0.392):0.248,(livornicoides:0.388,(calida:0.933,((nicaea:0.149,gallii:0.241):0.147,(livornica:0.393,(vespertilio:0.324,((dahlii:0.135,(siehei:0.308,(hippophaes:0.243,sammuti1:0.317):0.044):0.016):0.050,((costata:0.149,tithymali:0.035,sammuti2:0.093):0.086,(euphorbiae:0.055,robertsi:0.039,sammuti3:0.034):0.057):0.070):0.111):0.054):0.108):0.140):0.092):0.092):0.237);</t>
  </si>
  <si>
    <t>052_Ketmaier_etal_2004_MPE</t>
  </si>
  <si>
    <t>GTR+G</t>
  </si>
  <si>
    <t>(((S_acamaeicus:0.063,S_graecus:0.124):0.169,(S_erythrophthalmus:0.624,S_scardafa:0.452):0.26):0.831,((T_souffia:0.826,((T_mulitcellus:1.249,T_montenigrinus:0.687,(L_turskyi:0.558,L_polylepis:0.501):0.072):0.134,(T_pleurobipunctatus:0.911,T_beoticus:0.594):0.198,(P_croaticus:0.337,P_metohiensis:0.496):0.508):0.145):0.726,L_cephalus:1.677):0.228);</t>
  </si>
  <si>
    <t>053_Kizirian_etal_2004_MPE</t>
  </si>
  <si>
    <t>ND1, ND2, COI</t>
  </si>
  <si>
    <t>(((dundanensis:0.367,(pacificus:0.23,grayii:0.335):0.031):0.326,delanonis:0.559):0.562,((((habelii:0.173,bivitattus:0.0):0.762,occipitalis:1.020):1.023,stolzmanni:1.401):0.18,koepckeorum:1.538):0.15);</t>
  </si>
  <si>
    <t>054_Klanten_etal_2004_MPE</t>
  </si>
  <si>
    <t>16S, cyt b &amp; ETS2</t>
  </si>
  <si>
    <t>HKY+G</t>
  </si>
  <si>
    <t>((((((annulatus:0.333,brachycentron:0.303):0.087,(fageni:0.506,mcdadei:0.465):0.142):0.179,(tonganus:0.082,tuberosus:0.184):0.285):0.159,lopezi:0.548):0.567,(((brevirostris:0.51,(((caesius:0.056,sp_1:0.126):0.106,hexacanthus:0.049):0.785,vlamingii:0.231):0.171):0.334,((elegans:0.241,lituratus:0.0):0.345,unicornis:0.654):0.531):0.142,(maculatus:0.287,reticulatus:1.059):0.538):0.464):0.393,((caeruleacauda:0.733,thynnoides:0.601):0.243,minor:0.903):0.292);</t>
  </si>
  <si>
    <t>055_Lijtmaer_etal_2004_MPE</t>
  </si>
  <si>
    <t>(((((((O_angolensis:0.818,(collaris:0.334,leucoptera:0.162):0.658):0.321,(((collaris:0.0,nigricollis:0.168):0.166,caerulescens:0.0):0.324,luctuosa:0.962,nigricollis:0.487):0.648):0.325,americana:1.632):0.15,(falcirostris:0.655,schistracea:0.173):0.467):0.326,(((bouvreuil:0.243,zelichi:0):0.187,bouvreuil:0.187,((minuta:0.163,castaneiventris:0.327,minuta:0.343):0.496,melanogaster:0.0):0.332,cinnamomea:0.0,hypochroma:0.0,hypoxantha:0.0,palustris:0.0,ruficollis:0.183,zelichi:0.0):0.174,palustris:0.0):0.959):0.349,O_crassirostris:0.821):0.336,(telasco:0.792,castaneiventris:0.982):0.159);</t>
  </si>
  <si>
    <t>056_Luo_etal_2004_MPE</t>
  </si>
  <si>
    <t>(((((cachunus:0.253,fidelis:0.154):0.034,(eleusis:0.039,miletus:0.037):0.13):0.175,melanogaster:0.691):0.277,(custos:1.213,(olitor:0.448,proditor:0.51):0.299):0.203):0.235,(((smithii:0.159,andersoni:0.159):0.256,(rex:0.395,rufocanus:0.346):0.032):0.471,(glareolus:0.418,(rutilus:0.553,gapperi:0.407):0.066):0.36):0.339);</t>
  </si>
  <si>
    <t>057_Malhotra&amp;Thorpe_2004_MPE</t>
  </si>
  <si>
    <t>12S, 16S, ND4</t>
  </si>
  <si>
    <t>((((((albolabris:0.742,(((erythrurus:0.155,pupureomaculatus:0.181):0.231,cantori:0.329):0.055,andersoni:0.317):0.150):0.140,septentrionalis:0.704):0.164,insularis:0.629):1.342,((venustus:0.502,macrops:0.260):0.204,kanburiensis:0.523):1.144,(((gumprechti:0.468,stejnegeri:0.625):0.227,vogeli:0.792):0.235,medoensis:0.758):0.142):0.355,((((flavomaculatus:0.257,mcgregori:0.206):0.638,(sumatranus:0.868,schultzei:0.690):0.176):0.156,malcomi:0.587):0.316,hageni:1.066):0.479,(popeiorum:1.560,tibetanus:0.991):0.193):0.371,(((gramineus:0.681,trigonocephalus:0.630):0.457,malabaricus:1.480):0.809,(puniceus:1.655,borneensis:1.924):0.472):0.343);</t>
  </si>
  <si>
    <t>058_Mallarino_etal_2005_MPE</t>
  </si>
  <si>
    <t>COI, COII &amp; EF-1a, tektin, wingless, ribosomal L5.</t>
  </si>
  <si>
    <t>(((((agnosia:1.124,(pseudoagalla:1.154,dalmeidai:0.758):0.068):0.065,drymo:0.953):0.586,((amarilla:0.838,arduinna:0.922):0.318,jucunda:1.187):0.630):0.469,terra:2.343):0.830,(((avella:1.187,(((eleonara:0.406,ellara:0.135):0.214,praeithomia:0.551):0.602,hymettia:1.023):0.106):0.258,(((celemia:1.308,herladica:0.760):0.276,(((cleora:0.997,(iphianassa:0.084,salapia:0.175):0.327):0.285,diasia:0.410):0.5,patilla:0.801):0.377):0.088,hyala:1.396):0.393):0.359,(lagusa:1.248,xenos:0.980):0.486):0.802);</t>
  </si>
  <si>
    <t>059_Minegishi_etal_2005_MPE</t>
  </si>
  <si>
    <t>total mt genome</t>
  </si>
  <si>
    <t>(mossambica:1.384,((borneonsis:1.687,((anguilla:0.46,rostrata:0.418):0.88,(dieffenbachii:0.75,australis:1.152):0.153):0.1):0.125,(japonica:1.074,(reinhardtii:1.073,((celebesensis:0.823,megastoma:0.848):0.29,(marmorata:0.641,(mebulosa:0.724,(interioris:0.59,(obscura:0.56,bicolor:0.863):0.183):0.057):0.109):0.415):0.078):0.063):0.399):0.317);</t>
  </si>
  <si>
    <t>060_Moussalli_etal_2005_MPE</t>
  </si>
  <si>
    <t>ND4, 16S</t>
  </si>
  <si>
    <t>(((lewisi:1.505,basciliscus:1.693):0.277,(tetradactyla:1.253,(cxechrual:1.269,hannahae:1.481):0.333):0.472):0.444,(((sp_1:0.955,(rosei:1.107,spectabilis:0.906):0.401):0.25,chalenegeri:1.077):0.46,(mustelinus:0.248,oriarus:0.068):1.513):0.294);</t>
  </si>
  <si>
    <t>061_Near_etal_2004_MPE</t>
  </si>
  <si>
    <t>ND2 &amp; S7 ribosomal, Tmo-4C4</t>
  </si>
  <si>
    <t>((C_macropterus:0.785,(E_chaetodon:0.533,(E_gloriousus:0.213,E_obesus:0.203):0.378):0.436,((A_interruptus:0.614,((A_ariommus:0.182,A_rupestris:0.334):0.347,(A_cavifrons:0.326,A_constellatus:0.420):0.092):0.341):0.197,(P_annularis:0.705,P_nigromaculatus:0.744):0.369):0.122):0.173,(A_pomotis:1.343,(((M_dolomieu:0.141,M_punctulatus:0.106):0.452,(M_coosae:0.405,(M_cataractae:0.330,M_notius:0.370):0.065,(M_treculi:0.371,(M_salmoides:0.170,M_floridanus:0.290):0.116):0.100):0.096):0.867,((L_gulosus:0.606,(L_symmetricus:0.356,L_cyanellus:0.188):0.371):0.557,((L_humilis:0.420,L_macrochirus:0.442):0.478,((L_auritus:0.412,(L_marginatus:0.357,L_megalotis:0.288):0.184):0.638,(L_gibbosus:0.587,(L_microlophus:0.295,(L_punctatus:0.260,L_miniatus:0.325):0.177):0.521):0.179):0.430):0.145):0.764):0.305):0.117);</t>
  </si>
  <si>
    <t>062_Neves_etal_2005_MPE</t>
  </si>
  <si>
    <t>ITS, trnT-trnF</t>
  </si>
  <si>
    <t>(((((((coracana:0.292,indica:0.072):0.062,kigeziensis2:0.169):0.051,kigeziensis1:0.225):0.060,tristachya:0.207):0.337,(floccifolia:0.292,intermedia:0.297):0.271):0.210,multiflora:0.718):0.106,jaegeri:0.372);</t>
  </si>
  <si>
    <t>063_Overton_Rhodes_2004_MPE</t>
  </si>
  <si>
    <t>6B</t>
  </si>
  <si>
    <t>cyt b, ATPase 6, ATPase 8 &amp; c-mos</t>
  </si>
  <si>
    <t>HKY85+G</t>
  </si>
  <si>
    <t>(((todus:1.041,mexicanus:1.538):0.632,sublatus:0.649):0.497,(multicolor:1.281,angustirostris:1.409):0.393);</t>
  </si>
  <si>
    <t>064_Stenson_etal_2004_MPE</t>
  </si>
  <si>
    <t>1A</t>
  </si>
  <si>
    <t>cyt b, COI</t>
  </si>
  <si>
    <t>((((marmoratus:0.345,oculatus:0.311):0.044,(lividus:0.268,(ferreus:0.313,(nubilus:0.249,(marmoratus:0.213,sabanus:0.1):0.05):0.064):0.13):0.084):0.165,leachii:0.377):0.095,(bimaculatus:0.3,gingivinus:0.246):0.087);</t>
  </si>
  <si>
    <t>065_Swigonova&amp;Kjer_2004_MPE</t>
  </si>
  <si>
    <t>COI, 12S &amp; ITS2</t>
  </si>
  <si>
    <t>(pubicollis:0.506,((adela:0.536,(schwarzi:0.288,geminata:0.191):0.367):0.273,(((bacharidis:0.373,(nigrivenris:0.155,canadensis:0.138):0.053):0.143,(virgata:0.111,(borealis:0.088,convergens:0.053):0.047):0.051):0.184,((pilosa:0.201,lewisii:0.303):0.149,((diducta:0.067,eriodictyonis:0.211):0.239,((flavolimbata:0.234,manisi:0.119):0.092,(sericotraschyla:0.356,(nitidicolus:0.185,(luteocincta:0.327,(confusa:0.178,lufeocincta:0.160):0.053):0.082):0.052):0.056):0.209):0.066):0.072):0.108):0.073);</t>
  </si>
  <si>
    <t>067_Xiao_etal_2005_MPE</t>
  </si>
  <si>
    <t>ND4, cyt b</t>
  </si>
  <si>
    <t>((((((((((((macrocephalus:0.137,(huaningensis:0.112,guishanensis:0.192):0.05):0.032,(oxycephalus:0.0,lunanensis:0.0):0.206):0.094,malacopterus:0.183):0.076,angustiporus:0.267):0.175,yangzongensis:1.057):0.056,((grahami:0.216,tingi:0.293):0.353,(maitianheensis:0.037,anophthalmus:0.034):0.634):0.435):0.106,(lateristritus:0.077,qujingensis:0.307):0.442):0.523,((multipunctatus:0.082,cyphotergous:0.097):1.237,macrolepis:1.651):0.064):0.059,((lingyunensis:0.090,longibarbatus:0.070):0.143,macrophthalmus:0.233):0.827):0.168,((microphthalmus:0.090,halfibindus:0.085):1.086,anatirostris:0.763):0.457):0.099,((((furcodorsalis:0.123,jiuxuensis:0.080):0.040,bicornutus:0.305):0.092,(tianeensis:0.212,altishoulderus:0.050):0.161):0.352,(rhinocerous:0.539,hyalinus:0.611):0.158):0.51):0.623,jii:1.49);</t>
  </si>
  <si>
    <t>068_Yi_etal_2004_MPE</t>
  </si>
  <si>
    <t>ITS &amp; ndhF, trnL-F</t>
  </si>
  <si>
    <t>chlDNA &amp; nuDNA</t>
  </si>
  <si>
    <t>((((sandwicensis:0.978,chinensis:0.978):1.064,(punjabensis:1.755,coriaria:1.755):0.310):0.404,((capallina:0.267,lanceolata:0.267):2.106,(typhina:0.454,glabra:0.454):1.924):0.087):0.338,(((ovata:0.252,integrifolia:0.252):1.274,((virens:0.516,choriophylla:0.516):0.484,(schiedeana:0.55,kearneyi:0.55):0.434):0.542):0.523,(trilobata:0.451,aromatica:0.451):1.554):0.738);</t>
  </si>
  <si>
    <t>069_Yu_etal_MPE</t>
  </si>
  <si>
    <t>IRBP, TTR</t>
  </si>
  <si>
    <t>((((U_arctos:0.37,U_maritimus:0.215):0.215,(U_thibetanus:0.469,U_americanus:0.133):0.136):0.486,(H_malayanus:0.234,M_ursinus:0.529):0.516):0.483,T_ornatus:1.548);</t>
  </si>
  <si>
    <t>070_Bell_etal_2004_MPE</t>
  </si>
  <si>
    <t>COII</t>
  </si>
  <si>
    <t>(((T_rotundum:19.4,T_boucomonti:18.5):3.2,T_major:19.5):3.1,((((T_aeneopiceum:19.1,T_subvolitans:14.4):5.5,(T_involucre:23.2,(T_lewisense:13.9,T_monteithi:18.0):3.0):4.9):3.2,((((T_reyi:12.4,T_politulum:1.4):9.5,T_cooki:18.0):4.7,T_finnigani:22.3):3.1,T_disruptum:21.7):2.2):5.4,(T_laeve:26.1,T_bornemisszai:14.2):5.4):0.4);</t>
  </si>
  <si>
    <t>071_Banford_etal_2004_MPE</t>
  </si>
  <si>
    <t>ATPase8, ATPase6, cyt b, 12S, 16S &amp; CK</t>
  </si>
  <si>
    <t>((((((marina:0.059,sp:0.045):0.006,exilis:0.041):0.019,hubbsi:0.061):0.026,(scapularis:0.106,fluviatilis:0.053):0.024):0.058,(timucu:0.016,senegalensis:0.016):0.071):0.016,notata:0.097);</t>
  </si>
  <si>
    <t>072_Artiss_etal_2001_MPE</t>
  </si>
  <si>
    <t>((L_lydia:0,L_subornata:2.2):18.4,(O_ferruginea:25.1,(L_fulva:18.1,(L_depressa:9.1,(L_exusta:15.1,(L_deplenata:14.9,L_julia:15.15):7.1):13.4):8.1):23.0,(L_flavida:0,(L_needhami:2.7,(L_vibrans:3.9,(L_axilena:0,(L_comanche:3.9,(L_cyanea:0,(L_luctuosa:4.6,(L_auripennis:2.6,L_incesta:2.6,L_jesseana:2.5):2.3):1.1):2.1,((L_pulchella:6.0,(L_forensis:2.7,L_nodistica:0):1.7):3.8,((L_angelina:9.3,(L_quadrimaculata:9.8,L_semifasciata:27.3):3.5):7.3,(L_composita:6.0,(L_croceipennis:20.2,L_saturata:14.4):2.1):5.2):2.3):3.4):2.2):1.1):1.8):4.2):18.7):18.2);</t>
  </si>
  <si>
    <t>073_Austin_etal_2004_MPE</t>
  </si>
  <si>
    <t>12S, cyt b &amp; c-mos</t>
  </si>
  <si>
    <t>(((((((cepediana:12.9,guentheri2:15.4):4.0,borbonica:10.6):4.5,(ornata:12.7,guimbeaui:12.4):4.2):9.1,guentheri:17.0):8.0,((abbotti:20.9,mutabilis2:20.2):13.3,astriata:19.9):8.8):1.1,((((lineata:19.1,laticauda:24.0):2.9,quadriocellata:21.5):5.1,serraticauda:38.3):11.9,mutabilis:33.5):3.0):2.9,(andamanensis:44.2,standingi:22.6):3.2);</t>
  </si>
  <si>
    <t>074_Austin_1996_MPE</t>
  </si>
  <si>
    <t>4a</t>
  </si>
  <si>
    <t>(((((puffinis:17.4,newelli:12.1,(therminieri:6.2,(baroli:0.0,boydi:0.0):2.9):5.9):2.8,assimilis:14.5,(huttoni:28.8,gavia:9.7):17.1):11.4,pufinus:19.9):16.1,nativitatis:47.3):31.3,(((pacificus:18.6,bulleri:14.7):14.3,(tenulrostris:19.6,(griseus:19.8,gravis:7.0):3.3):3.2):3.3,(carneipes:3.8,creatopus:3.8):4.1):29.5);</t>
  </si>
  <si>
    <t>075_Becerra_2003_MPE</t>
  </si>
  <si>
    <t>ITS, 5S-NTS, ETS</t>
  </si>
  <si>
    <t>doesn't say</t>
  </si>
  <si>
    <t>((((((filicifolia:8.2,(bicolor:8.1,sarukhanii:7.5):1.0):1.2,(palmeri:8.45,((bipinnata:9.7,stenophylla:6.6):2.4,hindsiana:6.5):1.3):1.8):0.9,((((((asplenifolia:8.2,hintonii:3.4):2.0,copallifera:2.8):1.5,velutina:10.4):2.7,diversifolia:18.8):1.7,excelsa:7.9):1.3,(submoniliformis:5.3,vejar_vazquezii:6.9):3.3):0.9):3.1,(((((bonetti:6.3,mirandae:4.8):0.3,biflora:15.7):4.9,(((penicillata:7.9,citronella:3.5):3.0,infiernidialis:10.7):2.9,((xochipalensis:12.0,glabrifolia:13.9):4.5,(aloexylon:6.1,heteresthes:8.6,coyucensis:8.4):3.1):2.9):0.9):0.5,epinnata:54.5):2.0,((ruticola:4.8,cerasifolia:6.7):2.2,sarcopoda:36.9):9.2):2.1):15.7,tecomaca:31.7):14.0,((((((((paradoxa:21.2,ariensis:15.6):5.2,fagaroides2:33.3):7.4,discolor:13.3):2.6,((((bolivarii:4.5,(schlechtendalii:0,medranoana:13.2):6.0):1.9,chemapodicta:10.8):2.0,fagaroides:29.3):4.9,(trifoliolata:12.8,aptera:3.3):3.3):5.2):3.1,odorata:16.0):8.0,(((((crenata:32.0,kerberii:9.7):13.8,denticulata:31.5):1.2,(lancifolia:18.1,trimera:2.4):2.8):8.2,fragilis:7.3):6.7,multijuga:6.7):2.1):0.5,(((((suntui:10.1,galeottiana:23.4):1.5,morelensis:7.3):4.3,arida:4.5):4.3,rzedowski:21.3):6.5,microphylla:13.8):3.1):9.9,(((((cinerea:4.4,longipes:1.6):2.3,(acuminata:20.1,atenuata:7.4):1.8):2.8,(instabilis:8.8,arborea:9.9):2.1):0.9,grandifolia:19.6):3.1,simaruba:18.5):10.3):24.5);</t>
  </si>
  <si>
    <t>076_Blum_etal_2003_MPE</t>
  </si>
  <si>
    <t>COI, COII &amp;  Tpi</t>
  </si>
  <si>
    <t>((jatrophae:32.9,(fatima:15.0,amathea:14.4):18.5):19.5,(lytrea:25.9,chrysopelea:25.6):26.7);</t>
  </si>
  <si>
    <t>077_Alfaro&amp;Arnold_2001_MPE</t>
  </si>
  <si>
    <t>cyt b, 12S, ND2</t>
  </si>
  <si>
    <t>((((C_kirtlandi:22.7,V_striatula:31.1):2.0,(S_occipitomaculata:19.9,S_dekayi:24.5):5.7):1.0,(R_alleni:31.5,(R_rigida:17.4,S_pygaea:15.8):2.5):2.8):5.4,(((N_cyclopion:8.1,N_floridana:9.5):14.5,(((((N_fasciata:12.1,N_sipedon:11.5):3.7,N_eryhrogaster:13.9):0.8,(N_taxispilota:8.4,N_rhombifer:11.4):7.0):4.4,(R_grahami:21.8,T_lineatum:21.7):2.5):1.0,R_septemvittata:20.4):0.3):2.0,((((((T_butleri:0.8,T_radix:0.9):3.5,T_elegans:5.5):3.6,(T_ordinoides:5.3,T_atratus:6.6):1.2):3.4,T_marcianus:13.4):5.0,T_cyrtopsis:14.3):6.4,(T_proximus:20.9,T_sirtalis:15.1):3.0):4.2):0.6);</t>
  </si>
  <si>
    <t>078_Collins&amp;Dubach_2001_MPE</t>
  </si>
  <si>
    <t>aldolase A intron</t>
  </si>
  <si>
    <t>K2P</t>
  </si>
  <si>
    <t>((chamek:17.8,(hybridus:18.9,robustus:35.5):1.1):16.3,chamek:35.7,paniscus:35.9);</t>
  </si>
  <si>
    <t>081_Burridge_1999_MPE</t>
  </si>
  <si>
    <t>cyt b, d-loop</t>
  </si>
  <si>
    <t>((N_macropterus:7.5,A_monodactylus:17.5):6.8,((N_macrodactylus:4.0,A_monodactylus:6.8):7.4,(N_bergi:11.4,((A_monodactylus:9.5,N_macrodactylus:11.3):1.3,(Nemadactylus_sp:13.6,A_gayi:12.5):8.8):2.1):1.0):2.6);</t>
  </si>
  <si>
    <t>082_Chesser_etal_2000_MPE</t>
  </si>
  <si>
    <t>COI, ND3</t>
  </si>
  <si>
    <t>(((((((albafrons:5.7,cinerea:2.7,rufvertex:5.2):0.1,fluvitucha:3.7):0.1,juvinensis:9.6):0.1,alpina:7.2):6.3,(((albilora:6.4,macloviavea:3.0):2.0,alpina:6.6):1.1,(capistrata:4.7,frontalis:3.6):4.9):3.4):33.5,maculirastris:50.2):4.9,fluviatilis:54.1);</t>
  </si>
  <si>
    <t>084_Chippendale_etal_1999_MPE</t>
  </si>
  <si>
    <t>cyt b, 12S</t>
  </si>
  <si>
    <t>(((barberi:38.1,(((((cervula:3.6,gemina:3.2):6.8,erratica:10.2):2.3,((((damula:0.0,perparva:5.0):0.1,verticalis:3.1):3.0,posita:6.8,demorsa:4.8):2.9,denticollis:10.1):6.3):6.8,kellicotti:39.0):8.2,(hastata:35.2,prognatha:28.3):4.3):6.2):3.9,ramburii:37.4):4.9,capreola:63.2);</t>
  </si>
  <si>
    <t>086_CortesOrtiz_etal_2003_MPE</t>
  </si>
  <si>
    <t>cyt b, ATPase 6/8</t>
  </si>
  <si>
    <t>TrN+G</t>
  </si>
  <si>
    <t>(((A_palliata:1.4,A_coibensis:1.4):8.4,A_pigra:9.6):11.4,((((A_seniculus:7.6,A_sara:7.6):2.8,A_macconelli:10.5):2.1,A_caraya:12.4):3.5,(A_belzebul:12.6,A_guariba:12.7):3.2):5.0);</t>
  </si>
  <si>
    <t>087_Crochet_etal_2004_MPE</t>
  </si>
  <si>
    <t>control region</t>
  </si>
  <si>
    <t>K2P+G</t>
  </si>
  <si>
    <t>((((cantabrica:1.4,monticola:1.4):2.0,martinezricai:3.4):5.1,(cyreni:0.8,castiliana:0.8):7.7):0.0,(((aranica:3.9,bonnali:3.9):0,aurelioi:3.9):4.6,horvathi:8.5):0.0);</t>
  </si>
  <si>
    <t>089_Daniels_etal_2002_MPE</t>
  </si>
  <si>
    <t>12S, 16S, COI</t>
  </si>
  <si>
    <t>F81+G</t>
  </si>
  <si>
    <t>(calcaratus:85.8,((clarus:19.5,depressus:18.1):12.1,((((bayonianus:12.6,(unispinus:3.6,warreni:7.4):8.0):7.7,sidneyi:12.1,(perlatus:2.2,granularis:9.0):16.9):14.0,dentatus:16.8):9.0,lividus:34.9):13.5):15.4,brincki:21.9,parvicorpus:20.8,parvispina:29.5);</t>
  </si>
  <si>
    <t>090_de_Queiroz_etal_2002_MPE</t>
  </si>
  <si>
    <t>cyt b, NADH1,2, 4</t>
  </si>
  <si>
    <t>(((((A_foxi:44.9,(melanogaster:32.0,validus:62.9):3.2):2.3,(((errans:31.9,exsul:22.0):3.0,scaliger1:39.4):3.2,(godmani:25.4,((mendax:10.0,sumichrasti:15.3):7.4,(scalaris:2.3,scaliger2:1.6):18.2):12.5):3.8):3.4):15.0,(nigronuchalis:53.1,rufipunctatus:51.9):16.2):8.2,((((((((atratus:11.2,elegans:9.2):6.7,(couchii:18.1,gigas:16.0):0.8):10.3,ordinoides:21.0):3.2,hammondil:32.7):3.0,(brachystoma:6.6,(butleri:8.2,radix:2.8):2.4):22.7):5.7,(eques:26.8,marcianus:42.6):17.5):24.3,((cyrtopsis1:50.9,pulchrilatus:28.2):4.4,cyrtopsis2:43.8):27.1):14.3,(chrysocephalus:44.2,fulvus:47.5):20.4):7.3):13.3,((proximus:41.0,sauritus:25.2):54.0,sirtalis:61.7):10.3);</t>
  </si>
  <si>
    <t>091_Demastes_etal_2002_MPE</t>
  </si>
  <si>
    <t>((((C_castanops:19.7,C_goldmani:21.2):10.8,C_merriami:19.3):5.8,(((C_gymnurus2:12.9,((C_tylorhinus5:1.5,C_nelectus:1.0):5.2,((C_zinseri:0.9,C_tylorhinus4:1.1):2.9,C_tylorhinus3:2.3):1.9):5.4):2.5,(C_fumosus:1.00,(C_tylorhinus2:4.8,C_gymnurus1:4.8):0.9):11.5):1.9,C_tylorhinus1:24.1):7.7):13.4,P_bulleri:31.6);</t>
  </si>
  <si>
    <t>092_Dietrich_etal_1997_MPE</t>
  </si>
  <si>
    <t>16S, ND1-4</t>
  </si>
  <si>
    <t>(((((((abbreviata:21.1,((((bandarita:4.1,gila:19.5):1.5,mescalero:2.6):1.5,pectinata:2.3):0.7,collorum:1.6):9.6):3.7,((curvata:1.4,surcula:2.5):5.4,minima:8.5):7.4):11.6,((canyonensis:5.8,zacate:11.7):22.3,doeringae:30.1):7.6):15.7,inflata:33.0):8.3,((((arenicola:11.5,stylata:13.2):5.6,celata:8.4):14.2,((decora:3.6,modica:6.0):15.4,youngi:18.7):7.1):8.5,((arizonensis:32.1,flexulosa:22.5):6.2,(picta:38.6,pyrops:21.4):5.8):11.2):7.3):8.4,((albida:6.6,grammica:7.3):35.5,(species:10.1,serrata:11.5):20.8):11.3):16.8,(areolata:39.7,((((atlantica:22.4,producta:26.2):8.5,(dakota:20.7,graminea:19.3):14.5):7.0,(prariana:21.4,reflexa:26.8):11.7):7.8,((clayi:9.5,sandersi:8.0):3.1,delongi:3.5):15.2):13.1):16.5);</t>
  </si>
  <si>
    <t>094_Ducroz_etal_1998_MPE</t>
  </si>
  <si>
    <t>(((species1:24.9,species2:24.9):33.2,species3:58.0):34.6,((niloticus:38.9,(abyssinicus:11.9,blicki:12.3):27.0):1.8,somalicus:40.8):52.3);</t>
  </si>
  <si>
    <t>095_Emerson_etal_1999_MPE</t>
  </si>
  <si>
    <t>COI,COII</t>
  </si>
  <si>
    <t>((((angularis:3.7,appendiculatus:4.6):10.0,canariensis:5.5):26.6,rectus:62.6):3.4,(((((gomerensis:2.4,spretus:5.5):10.4,(marcellae:11.7,(obliteratus:12.6,refleximargo:12.4):2.2):2.3):2.1,pilosipennis:23.1):7.1,(cognatus:14.5,laureticola:25.6):3.1):15.0,abaxoides:73.7):3.8);</t>
  </si>
  <si>
    <t>096_Faber&amp;Stepien_1998_MPE</t>
  </si>
  <si>
    <t>(((S_vitreum:36.6,S_canadense:23.1):14.6,(S_lucioperca:21.5,S_volgensis:16.5):17.5):9.4,(G_cernuus:27.1,E_zonale:56.4):1.6);</t>
  </si>
  <si>
    <t>098_Garb_etal_2004_MPE</t>
  </si>
  <si>
    <t>((geometricus:15.6,rhodesiensis:6.6):12.2,((((((((antheratus:6.4,(corallinus:0.0,sp:0.0,diaguita:0.0):5.8):6.4,mirabilis:1.1):0.8,sp:0.0,mirabilis:0.0,variegatus:0.0):8.5,((mactans:4.7,hesperus:9.2):1.3,(variolus:6.0,bishopi:7.6):2.6):14.4):1.9,(pallidus:5.1,revivensis:8.1):7.0):1.1,menavodi:12.8):1.0,(hasselti:2.5,katipo:4.3):20.8):7.4,(tredecimguttatus:0.0,renivulvatus:1.4):6.7):24.0);</t>
  </si>
  <si>
    <t>099_GarciaMoreno_etal_2001_MPE</t>
  </si>
  <si>
    <t>ND2</t>
  </si>
  <si>
    <t>HKY</t>
  </si>
  <si>
    <t>((((((bresilius:2.0,carbo:1.0):4.7,((costaricensis:0.9,passerinii:0.0):2.7,icteronotus:4.2):2.3):3.8,sanguinolentus:11.9):10.8,(((atropileus:8.0,(auricularis:13.2,calophrys:5.0):1.0):1.3,trifasciatus:17.0):1.7,(((melanotis:2.5,frontalis:9.6):4.3,piruae:8.5):4.0,rufosuperciliaris:22.1):4.0,((xantghophthalmus:6.9,verticalis:6.0):5.1,superciliaris:9.8):4.8):17.5):4.6,((canigularis:10.9,((flavigularis:0.0,paravirostris:4.9):2.7,(ophaeocephalus:10.0,sernifuscus:2.0):11.7):0.3):1.7,((((rufinucha:2.7,luviceps:4.3):3.2,latrixichus:5.4):1.1,rufigenis:3.0):9.9,brunneinucha:12.2):3.5):10.2):2.0,(coronatus:13.1,luteoviridis:3.5,nigrocristatus:7.8):8.6);</t>
  </si>
  <si>
    <t>100_GraciaMoreno_etal_1999_MPE</t>
  </si>
  <si>
    <t>(((((((marcapatae:2.6,albiceps:3.8):5.6,vulpina:6.0):2.0,((obsoleta:3.2,henricae:1.3):0.9,pyrrhophia:1.3):3.1,albicapilla:4.8):2.2,demissa:4.7):0.7,erythrops:2.8):2.9,(curtata:1.6,antisiensis:1.3):0.5):1.7,baroni:1.4);</t>
  </si>
  <si>
    <t>101_Gonzalez_etal_1996_MPE</t>
  </si>
  <si>
    <t>12S, cyt b</t>
  </si>
  <si>
    <t>((((((Ggag:2.7,Ggae:12.3):3.7,Ggap:18.7):9.4,(Ggac:11.7,Ggao:1.8):23.7):9.6,Gsis:45.4):12.2,(Gata:14.5,(Gatl:3.4,Gatd:5.8,Gati:3.4):18.0):33.0):7.9,Gst:62.5);</t>
  </si>
  <si>
    <t>102_Groombridge_etal_2004_MPE</t>
  </si>
  <si>
    <t>(((Slaty_head:39.5,Plum_head:39.5):22.0,Blossom_head:61.5):12.8,((((Derbyan:6.1,Moustached:6.1):37.1,Longtail:43.4):11.6,Maiabar:55.0):11.5,(Alexandine:60.0,((Indian:17.5,Echo:17.5):8.7,African:26.3):33.5):6.3):7.8);</t>
  </si>
  <si>
    <t>106_Hardman_2004_MPE</t>
  </si>
  <si>
    <t>cytb &amp; RAG2</t>
  </si>
  <si>
    <t>(((((((((((((munitus:4.9,stigmosus:3.8):1.3,placidus:9.4):4.5,eleutherus:12.5):3.7,(furiosus:8.5,flavater:11.6):2.5):6.6,(miurus:18.1,flavipinuis:22.1):1.2):3.4,(alabater:5.2,affalabaster:9.8):9.5):2.1,taylori:20.3):1.2,(((hildebrandi:11.1,baileyi:12.0):3.7,elegans:13.2):2.0,affelegans:10.3):9.4):3.6,(fumebris:12.3,leptacantleus:14.1):17.6):1.3,((broadtail:6.6,insignis:2.5):12.4,flavus:21.8):2.1,gilberti:21.9):3.0,((lachneri:15.2,gyrinus:14.5):10.8,nocturnus:22.7):6.7):0.3,exilis:33.1):2.0,phaeus:29.0);</t>
  </si>
  <si>
    <t>107_Harrison_2004_MPE</t>
  </si>
  <si>
    <t>16S, COI</t>
  </si>
  <si>
    <t>((((((aidae:0,hardyi:1.2):68.7,gorei:49.1):18.1,cristata:30.1):9.5,(behreae:21.1,chacei:14.3):64.3):15.2,felipensis:40.8):11.5,patagoniensis:30.6);</t>
  </si>
  <si>
    <t>110_Hodges&amp;Zamudio_2004_MPE</t>
  </si>
  <si>
    <t>cyt b, ND4</t>
  </si>
  <si>
    <t>(((((((((ditmarsi:19.7,hernandesi:10.7):5.0,douglasii:16.3):11.1,orbiculare:26.6):5.6,modestum:29.6):5.1,solare:36.8):3.1,((platyrhinos:12.8,mcallii:22.0):17.1,coronatum:29.5):2.8):1.8,(taurus:20.9,braconnieri:21.6):14.0):3.2,comutum:38.7):5.7,asio:41.9);</t>
  </si>
  <si>
    <t>cyt b, 16S</t>
  </si>
  <si>
    <t>112_Ingram_etal_2004_MPE</t>
  </si>
  <si>
    <t>12S &amp; transthyretin intron</t>
  </si>
  <si>
    <t>(((whytei:7.5,(((anselli:2.0,micklemi:2.7):3.0,damarensis:4.9):1.3,darlingi:5.1):0.2):1.4,bocagei:4.8):15.8,(hottentotus:11.5,((anomalus:4.8,natalensis:8.4):3.7,holosericeus:7.0):1.2):17.8);</t>
  </si>
  <si>
    <t>113_Jordal_etal_2004_MPE</t>
  </si>
  <si>
    <t>((pinicola:0.859,(nigrescens:1.869,rumicis:0.441):0.04):0.179,((loweri:0.521,curlum:1.242):0.15,((bituberculatum:1.06,(semidegener:0.483,(canum:0.594,arternisae:0.381):0.257):0.479):0.07,((loweanum:0.472,pilosum_A:0.497):0.331,(bicaudatum:0.626,((inarmatum:0.313,pilosum_C:0.558):0.272,pilosum_B:0.43):0.056):0.174):0.179):0.075):0.326);</t>
  </si>
  <si>
    <t>114_Joseph_etal_2004_MPE</t>
  </si>
  <si>
    <t>ATPase6/8</t>
  </si>
  <si>
    <t>((swainsoni:11.2,(cephalotes:24.2,(phaeocephalus:14.0,panamensis:18.0,(ferox:13.8,venezuelenais:12.2):16.6):15.9,((tuberculifer:10.7,barbirostris:14.2):3.4,swainsoni2:14.9):3.1):3.9):19.4,(valvus:23.1,((stolicus:5.7,sangrae:4.2):16.3,((antildarum:8.2,oberi:9.0):8.9,(crinitus:12.5,yucetanensis:24.7,(cinerascens:19.5,tyrannulus:17.6):2.5):5.0):2.8):8.1):17.0);</t>
  </si>
  <si>
    <t>115_Kiefer_etal_2002_MPE</t>
  </si>
  <si>
    <t>16S, ND1, D-loop</t>
  </si>
  <si>
    <t>TrN</t>
  </si>
  <si>
    <t>((austriacus:23.1,kolombatovici:20.3):22.4,(indet:27.5,auritus:21.9):11.5);</t>
  </si>
  <si>
    <t>116_Klicka_etal_2003_MPE</t>
  </si>
  <si>
    <t>(((P_hyperboreus:0.6,P_nivalis:1.0):30.9,C_mccownii:30.7):9.2,(C_lapponicus:34.3,(C_ornatus:13.5,C_pictus:15.9):37.1):8.3);</t>
  </si>
  <si>
    <t>117_Kochzius_etal_2003_MPE</t>
  </si>
  <si>
    <t>((brachypterus:28.8,((zebra:9.8,(orntennates:3.4,membransae:2.5):13.7):3.0,radiata:21.1):2.4):12.8,(miles:12.1,volatus:10.7):15.6);</t>
  </si>
  <si>
    <t>119_Kosuch_etal_2001_MPE</t>
  </si>
  <si>
    <t>16S</t>
  </si>
  <si>
    <t>(((H_chinensis:9.3,H_tigerinus:5.0):1.0,H_crassus:9.5):7.3,H_occipatalis:19.4);</t>
  </si>
  <si>
    <t>120_Lavery_etal_2004_MPE</t>
  </si>
  <si>
    <t>(((((((aztecus:9.6,paulensis:16.2):1.9,subtilis:12.7):6.7,brasiliensis:16.3):1.5,(atrorurum:2.2,notialis:1.3):14.7):12.5,((styulinostris:18.6,vannamej:14.2):3.0,setiferus:33.5):11.9):23.7,(((chimensis:22.8,((indicus:6.5,(penicilanes:1.3,silasi:2.6):4.9):4.3,merguiensis:1.5):18.6):13.4,(semisulcatus:27.9,esculentus:31.3):9.4):2.1,monodon:42.4):2.5):23.8,((((japonicus:17.8,canalliculatus:17.4):4.3,((latisulcatus:17.1,plebejus:18.0):6.6,longistylus:14.8):5.5):10.5,marginatus:33.7):5.0,kerarhurus:36.6):13.8);</t>
  </si>
  <si>
    <t>121_Lee_etal_2003_MPE</t>
  </si>
  <si>
    <t>16S, ND1</t>
  </si>
  <si>
    <t>(((camtschatica:5.9,pica:4.4):6.9,(hudsonia:6.2,nuttalli:8.5):8.4):6.5,sericea:19.7);</t>
  </si>
  <si>
    <t>122_Lucchini_etal_2001_MPE</t>
  </si>
  <si>
    <t>12S, 16S, ND2, cyt b, control region</t>
  </si>
  <si>
    <t>(((bonasia:19.2,sewerzowi:43.1):37.3,umbellus:42.7):12.0,(((canadensis:31.0,falcipennis:25.6):20.7,((mlokosiewiczi:15.3,tetrix:15.1):15.4,(parvirostrus:21.0,urogallus:15.7):8.8):10.2):5.3,(((lagopus:15.7,mutus:18.0):15.0,leucurus:26.2):7.0,(urophasianus:40.3,(obscurus:24.3,((cupido:2.6,pallidicintus:2.2):4.6,phasianellus:14.3):29.5):7.6):6.5):2.0):13.7);</t>
  </si>
  <si>
    <t>125_Mahoney_2001_MPE</t>
  </si>
  <si>
    <t>ND4</t>
  </si>
  <si>
    <t>((((A_aeneus:55.6,(((A_ferreus:21.4,A_flavipunctatus:33.0):5.1,A_lugubris:28.5):7.1,A_hardii:32.4):8.9):11.9,((((((cinereus:2.0,hoffmani:2.9):9.6,richmondi:10.5):5.7,serratus:18.4):13.6,(((((((fourchensis:6.1,(jordani:11.5,onachitae:9.1):1.9):1.5,teyahalee:13.2):2.0,yonak:19.4):0.1,petraeus:12.6):3.0,glutinosus:6.1):10.7,wehrlei:21.8):2.0,welleri:22.8):4.2):34.9,(dunni:19.5,vehiculum:9.2):11.5):1.3,(elongatus:9.0,stormi:7.0):20.5):2.2):4.3,(larselli:29.9,vandykei:41.6):11.1):2.0,neomexicanus:31.5);</t>
  </si>
  <si>
    <t>126_Malhotra&amp;Thorpe_2000_MPE</t>
  </si>
  <si>
    <t>(((((albolabris:16.0,((purpureonaculatus:3.8,erythrurus:1.5):3.5,cantori:6.6):1.6):24.6,stejnegeri:23.8):0.8,kanburiensis:23.6):4.9,(popeiorum:21.7,(hageni:13.3,flavomaculatus:22.6):11.5):1.9):2.5,(((trigonocephalus:10.3,gramineus:13.9):4.5,malabaricus:23.5):13.1,borneensis:37.9):7.4);</t>
  </si>
  <si>
    <t>127_Malone_etal_2000_MPE</t>
  </si>
  <si>
    <t>((((((nubila:3.3,cychlura:3.9):0.7,nubila:3.1):3.2,rileyi:2.4):5.4,collei:10.2):3.0,((ricordi:5.1,carinata:5.6):7.3,corinata:9.2):4.1):5.8,pinguis:11.1);</t>
  </si>
  <si>
    <t>128_Masta_etal_2002_MPE</t>
  </si>
  <si>
    <t>ND1, 16S</t>
  </si>
  <si>
    <t>((americanus:28.8,woodhousii:20.7):12.0,((fowleriS:17.2,terrestris:14.0):24.0,fowleriN:27.1):11.7);</t>
  </si>
  <si>
    <t>132_Misof_etal_2000_MPE</t>
  </si>
  <si>
    <t>((M_basilaris:13.1,atrata:17.9):18.7,(((xanthostoma:1.0,splendens:2.4):7.0,(virgo:6.0,haemorrhoidalis:1.3):2.5):7.1,(cornealia:11.2,(maculata:9.5,(dimidiata:22.2,aequabilis:6.2):1.3):8.8):1.7):1.6);</t>
  </si>
  <si>
    <t>134_Miya&amp;Nishida_1998_MPE</t>
  </si>
  <si>
    <t>(pseudodiaphana:26.9,(diaphana:8.9,(pseudobscura:1.9,obscura:13.8):4.7):28.0);</t>
  </si>
  <si>
    <t>136_Montiero&amp;Pierce_2001_MPE</t>
  </si>
  <si>
    <t>COI, COII</t>
  </si>
  <si>
    <t>((((alboplagus:0.0,xeneoides:0.0):7.4,xeneas:7.4):29.4,evadne:37.0):29.0,((((analis:1.6,uniformis:1.6):25.1,((hyperanthus:14.1,sciathis:14.1):1.2,procorus:15.3):11.3):28.8,((((((graueri:1.5,sebetus:1.5):8.6,(italus:1.0,zinebi:1.0):9.0):6.9,iccius:17.2):3.4,sweadneri:20.4):17.2,medontias:37.8):8.0,hewitsoni:45.9):9.9):3.5,(((((((((angulosus:9.9,campus:9.9):18.4,anynana:28.5):5.0,mollitia:33.2):3.3,(auricrudus:12.7,(henia:6.0,maridanes:6.0):6.9):23.6):10.1,(mesogenus:21.6,sangmelinae:21.6,sambulos:21.6):24.8):0.4,(((((dorothea:1.1,moyses:1.1):1.7,jefferyi:2.8):16.2,vulgaris:19.0):18.6,sandace:37.7):9.1,ena:46.1,technatis:46.1,vansoni:46.1):0.2):6.4,((((((buea:10.6,sanaos:10.6):14.2,persimilis:24.8):11.8,(((golo:18.6,smithi:18.6):2.3,madetes:21.1):14.2,(istaris:4.5,sophrosyne:4.5):30.9):1.3):0.8,matuta:37.4):6.6,(dubius:41.6,funebris:41.6):2.5):7.5,(cotterelli:31.6,safitza:31.6):20.0):1.4):2.1,((anisops:33.6,dentatus:33.6):18.3,taenias:51.7):3.8):2.7,(ignobilis:45.2,pavonis:44.9):13.0,trilophus:58.1):0.8):7.1);</t>
  </si>
  <si>
    <t>137_Moriarty&amp;Cannatella_2004_MPE</t>
  </si>
  <si>
    <t>((cadaveriria:0.459,regilla:0.456):0.445,((ornata:0.57,(streckeri:0.105,illinoiensis:0.051):0.489):0.45,((occularis:0.588,crucifer:0.635):0.393,((bremleyi:0.153,brachyphona:0.226):0.209,(((nigrita:0.241,feriarum:0.186):0.105,(kalmi:0.072,(triseriata:0.094,feriarum:0.111):0.06):0.111):0.096,(maculata:0.086,triseriata:0.074,clarkii:0.072):0.168):0.125):0.281):0.16):0.286);</t>
  </si>
  <si>
    <t>139_Morrison_etal_2004_MPE</t>
  </si>
  <si>
    <t>(((agelas:0.352,androsi:0.691):0.054,((bousfieldi:0.358,brooksi:0.581):0.12,(banfield:0.244,chacel:0.174):0.311):0.107):0.066,(((anasinuns:0.923,(occidentalis:0.408,((goodei:0.252,longicarpus:0.369):0.048,((panddionis_small:0.349,longicarpus_small:0.378):0.048,(pandiornis_giant:0.13,pandionis:0.107):0.233):0.057):0.049):0.051):0.2,((brevifrons:0.647,(sanciithomae:0.391,williamsi:0.318):0.238):0.117,(((filidigitus:0.379,regatis:0.362):0.16,(rathburae_A:0.299,rathburnae:0.251):0.232):0.369,(herricki:0.64,peciniger:0.507):0.121):0.096):0.01):0.091,((gambarelloides:0.462,(intermediate:0.5,paranepiunsis:0.468):0.186):0.038,mcclendoni:0.564):0.042):0.025);</t>
  </si>
  <si>
    <t>140_Murphy&amp;Collier_1999_MPE</t>
  </si>
  <si>
    <t>((((((((((A_elegans:2.7,A_cognatum:6.0):1.2,A_decorensei:6.0):0.8,A_cognatum:4.3):4.8,A_melanopteron:16.5):1.0,(A_christyi:12.6,(A_elegans:15.7,(A_rectogoense:17.3,A_lamberti:15.4):3.1):1.6):4.1):18.4,(A_labarrei:24.6,((A_wildekampi:15.4,A_punctatum:18.0):10.2,(A_mimbon:20.2,(A_maculatum:12.6,A_cameroonense:9.4):5.1):15.5):2.1):4.2):1.8,(F_kunzi:45.9,(A_coeleste:23.0,(A_citrinepinnis:25.5,(A_occellatum:15.3,A_aureum:14.8):5.5):9.7):6.1):3.1):9.5,((A_gabunense:23.2,A_striatum:25.0):17.5,((A_exigoideum:11.3,A_primigenium:9.1):26.0,(A_louoessense:24.1,A_ogoense:23.3):17.8):3.0):7.7):3.0,(((A_ahli:21.1,A_australie:24.1):3.2,(A_calliunum:18.7,A_celiae:26.7):3.6):10.8,(((A_bualanum:12.1,A_exiguum:12.0):35.6,A_cyanostictum:52.7):9.1,(A_sp:42.4,(A_bivittatum:20.0,A_volcanum:16.0):14.7):13.6):2.5):1.0):14.9,((F_saneaisabellae:11.1,F_scheeli:10.1):29.7,(((F_filamentosum:26.1,F_robertsoni:33.1):3.5,F_walkeri:32.5):10.1,(((F_deltaense:6.2,F_gulare:8.1):21.6,(F_schwoideri:24.1,F_arneiti:18.8):5.5):6.0,(F_sjoestedi:27.0,(F_gardneri:28.3,(F_mirabile:27.3,F_ndianum:24.5):3.6):3.4):2.2):2.9):3.0):3.6);</t>
  </si>
  <si>
    <t>141_Omland_etal_1999_MPE</t>
  </si>
  <si>
    <t>(((((((((cayanensis:20.9,(dominicensis:20.6,oberi:12.6,laudabilis:17.1):1.6):2.2,bonana:14.8):2.9,dominicensis:25.1):1.9,(spurius:32.7,dominicensis:22.6):6.3):3.4,cucullatus:27.8):4.6,wagleri:38.1):6.8,maculialatus:32.9):0.9,(((jamacaii:18.1,icterus:15.1):12.0,(graceannae:23.0,pectoralis:22.8):8.2):0.9,mesomelas:37.1):8.1):2.7,((((gularia:13.9,nigrogularis:12.3):5.3,auratus:13.8):2.8,leucopteryx:20.4,pustulatus:20.8,galbula:22.7):17.1,((chrysater:7.4,graduacauda:6.5):19.0,parisorum:29.0):4.6):11.5);</t>
  </si>
  <si>
    <t>143_Palma_etal_2002_MPE</t>
  </si>
  <si>
    <t>((((pallidior:46.3,elegans:50.1):25.9,venusta:43.7):19.3,pusilla:49.1):10.1,macrura:32.0);</t>
  </si>
  <si>
    <t>145_ParraOlea_2002_MPE</t>
  </si>
  <si>
    <t>(((((juarezi:0.4,saltator:0.0):13.2,unguidentis:13.8):2.4,((Lineatriton:11.5,(werleri:14.8,mystax:10.6):5.2):2.4,(Lineatriton:14.2,(leprosa:17.9,lynchi:8.6):5.4):4.9):3.5):1.4,((sp3:4.5,smithii:8.2):3.3,((((longicauda:4.0,(robertsi:2.2,altamontana:1.3):0.7):0.1,sp2:8.0):0.1,tenchalli:5.6):0.1,melanomolga:5.3,cochranae:6.1):2.6):6.8):4.2,((galeanae:18.7,cephalica:15.7):4.4,(gigantea:8.2,bellii:8.0):11.8):8.4);</t>
  </si>
  <si>
    <t>146_Passamonti_etal_2004_MPE</t>
  </si>
  <si>
    <t>(species:58.2,(caprai:22.7,(attenuata2:21.0,attenuata1:21.0,attenuata3:21.0,montana:21.0):2.2):35.6);</t>
  </si>
  <si>
    <t>148_Pondella_etal_2003_MPE</t>
  </si>
  <si>
    <t xml:space="preserve">(((P_loro:6.4,(P_caliaensis:4.3,P_dewegeri:2.8):3.0,P_albomaculatus:9.0):0.7,P_humeralis:6.5):2.7,((P_auroguttatus:4.0,P_clathratus:4.0):1.5,(P_maculatofasciatus:8.2,P_nebulifer:6.6):1.5):2.3); </t>
  </si>
  <si>
    <t>149_Porter_etal_2002_MPE</t>
  </si>
  <si>
    <t>control region, 12S</t>
  </si>
  <si>
    <t>((lynceum:12.5,zonale:9.1):24.5,(((thalassinum:21.2,(swannanoa:28.5,inscriptum:20.9):0.5):8.0,(rupestre:20.5,(blennioides:16.3,blennius:18.0):2.3):9.0):3.4,((histrio:24.7,(baileyi:26.2,((barrenense:2.3,rafinesquei:7.8):16.8,(simoterum:28.5,atripinne:14.8):17.7):6.7):3.9):3.4,((coosae1:20.0,(coosae2:15.9,scotti:21.8):2.9):12.0,((duryi:15.6,flavum:15.0):9.4,(etnieri:18.6,((zonistium:2.6,pyrrhogaster:15.0):10.3,((raneyi:23.2,(bellator1:0,chermocki:4.4):9.5):2.3,((bellator2:9.8,colorosum:6.0):0.8,(lachneri:8.2,(ramseyi:14.6,(tallapoosae:11.2,brevirostrum:21.4):1.6):1.8):0.7):3.6):1.3):1.1):16.1):1.8):6.9):5.7):13.2);</t>
  </si>
  <si>
    <t>150_Randi_1996_MPE</t>
  </si>
  <si>
    <t>p-dist</t>
  </si>
  <si>
    <t>(((((chukar:37.8,(philbyi:23.7,magna:42.9):7.2):6.7,graeca:44.5):7.0,rufa:46.3):14.2,barbara:64.8):3.8,melanocephala:60.7);</t>
  </si>
  <si>
    <t>151_Randi_etal_2001_MPE</t>
  </si>
  <si>
    <t>cyt b, control region</t>
  </si>
  <si>
    <t>((((bulweri:61.8,(((edwardsi:3.7,hatinhensis:6.7):30.8,swinholi:39.2):41.8,(leucomelanos:27.0,nycthemera:40.7):37.2):9.1):9.1,inomata:65.2):11.8,erythrophthalma:73.0):7.5,(diardi:48.7,ignita:39.7):30.0);</t>
  </si>
  <si>
    <t>152_Reed_etal_2001_MPE</t>
  </si>
  <si>
    <t>(((((peruviana:3.9,setapinnis:5.5):1.3,dorsalis:2.7):8.3,brownii:10.8):3.3,(vomer:7.0,brevoortii:7.8):4.0):10.5,orstedii:12.7);</t>
  </si>
  <si>
    <t>153_Ribas&amp;Miyaki_2004_MPE</t>
  </si>
  <si>
    <t>12S, 16S, cyt b, control region</t>
  </si>
  <si>
    <t>((((solstitialis:6.2,(jandaya:5.0,auricapilla:6.3):3.5):5.7,N_nenday:20.5):19.1,weddellii:39.8):12.0,(aurea:29.5,cactorum:43.0):24.5);</t>
  </si>
  <si>
    <t>155_RochaOlivares_etal_1999_MPE</t>
  </si>
  <si>
    <t>((((spinorbis:43.6,exsul:43.6):29.9,(notius:58.3,(constellatus:32.1,capensis:32.1):26.2):15.2):15.7,(umbrosus:44.6,lentiginosus:44.6):44.6):33.9,(rosaceus:115.9,(ensifer:71.1,(helvomaculatus:57.1,(simulator:48.8,(rosenblatti:15.5,(eos:9.4,chlorostictus:9.4):6.1):33.2):8.3):14.0):44.8):7.8);</t>
  </si>
  <si>
    <t>157_Rubinoff&amp;Sperling_2002_MPE</t>
  </si>
  <si>
    <t>COI &amp; EF1-alpha</t>
  </si>
  <si>
    <t>((((stonei:16.3,grotei:21.9):8.6,(((nevadensis:3.3,(maia:3.3,BBM:3.2):3.0):18.3,(burnsi:23.3,(neumogeni:11.5,juno:6.6):13.5):1.9):3.1,((((clio:3.1,mojavensis:3.5):0.6,rubra:1.6):1.0,electra:1.8):3.8,ColoradoDesertPopulations:9.0):19.8):1.5):4.5,((nuttalli:14.2,(hera:7.6,eglanterina:15.1):5.5):7.0,(chinatiensis:13.4,griffini:9.7):14.1):5.7):5.6,(((penninsularis:7.7,tricolor:11.8):6.6,hualapai:13.8):3.1,oliviae:16.5):39.5);</t>
  </si>
  <si>
    <t>159_Russello&amp;Amato_2004_MPE</t>
  </si>
  <si>
    <t>COI, 12S, 16S &amp; b-fibint7, RP40, TROP</t>
  </si>
  <si>
    <t>(((((((((A_aestiva:3.9,A_ochrocephala3:0):6.8,((A_auropalliata:1.8,A_oratrix:4.5):1.5,ochrocephala2:2.0):2.0):0.8,A_barbadensis:3.8,A_ochrocephala1:4.8):2.3,(A_arausiaca:5.3,A_versicolor:5.8):2.8):13.8,(A_dufresniana:7.8,A_rhodocorytha:6.4):19.4):1.6,(A_farinosa:24.3,A_kawalli:16.4):2.7):3.4,(((A_amazonica:6.5,A_guildingii:10.7):2.0,A_brasiliensis:8.6):8.5,A_imperialis:21.0):6.3):0.8,(A_festiva:21.2,((A_pretrei:5.7,A_tucumana:4.0):10.2,A_vinacea:17.6):4.3):1.5):1.6,((A_agilis:19.0,(A_collaria:5.7,((A_leucocephala:3.9,A_vittata:5.3):0.9,A_ventralis:0.5):4.0):7.7):1.5,A_albifrons:14.0):6.9);</t>
  </si>
  <si>
    <t>160_SalazarBravo_etal_2001_MPE</t>
  </si>
  <si>
    <t>((((((innom:0,fecundus:0):1.8,callosus:1.6):9.0,venustus:10.7):41.8,(laucha:45.2,tener:45.2):7.3):8.8,hummelincki:61.2):10.0,(sorellus:34.7,(lepidus:21.5,musculinus:21.5):13.5):36.6);</t>
  </si>
  <si>
    <t>161_Schauble_etal_2000_MPE</t>
  </si>
  <si>
    <t>16S, ND4</t>
  </si>
  <si>
    <t>((brevis:0.207,(ornatus:0.057,spenceri:0.087):0.252):0.049,((((M_lingerius:0.105,convexiusculus:0.09):0.036,salmini:0.099):0.059,(((depressus:0.177,fletcheri:0.064):0.042,terminaiensis:0.157):0.025,peronii:0.144):0.047):0.017,(dorsalis:0.040,(((dunerlli:0.001,interioris:0.001):0.013,insularis:0.017):0.036,(grayi:0.034,terraetrginae:0.028):0.018):0.015):0.080):0.068);</t>
  </si>
  <si>
    <t>162_Scott_etal_2004_MPE</t>
  </si>
  <si>
    <t>(((broadleyi:14.0,capensis:6.3):14.3,(((imperator:23.9,torquatus:24.6):8.4,rhodesianus:24.7):14.4,(((((intermedius:13.0,monotropis:14.7):4.0,minor:13.4):2.4,nigrescens:17.0):6.2,(lebornoensis:14.5,wilhelmi:12.0):16.7):1.7,orientalis:15.1):6.2):5.7):13.9,(mitchelli:25.7,maculatus:30.5):6.3);</t>
  </si>
  <si>
    <t>163_Serb_etal_2003_MPE</t>
  </si>
  <si>
    <t>ND1</t>
  </si>
  <si>
    <t>(((((((((aurea:1.2,pustulosa:1.7):1.8,mortoni:2.8,refulgens:1.0):0.9,F_succissa:4.3):3.0,(nodulata:3.8,petrina:6.1):2.7):5.1,Q_infucata:9.2):3.5,(asperata:1.0,keineriana:0.8):7.3):2.9,(((intermedia:10.8,metanevra:8.6):1.6,sparsa:4.2):4.3,cylindrica:12.5):5.4):2.9,((rumphiana:2.9,quadrula2:1.7):1.4,apiculata:1.6):8.4):3.4,((nobilis:1.9,quadrula1:0.5):7.6,T_verrucosa:9.2):3.1);</t>
  </si>
  <si>
    <t>165_Sipes&amp;Wolf_2001_MPE</t>
  </si>
  <si>
    <t>COI/COI</t>
  </si>
  <si>
    <t>(((((((((((consociata:6.9,martinalis:6.9):2.7,nitidifrons:8.2):2.2,martialis:7.0):5.4,(diminuta:11.3,lutzi:12.7):2.8):6.4,(bituberculata:13.9,laticauda:16.1):6.0):6.5,megamorpha:24.8):4.6,((nigrifrons:11.7,palmarum:13.4):6.8,tuberculifrons:13.7):3.2):5.0,((((allfictula:17.9,vallicola:17.1):4.8,sphaeraloearum:21.9):6.0,angusticeps:14.1):11.2,afflicta:17.8):5.4):4.9,(((knabiana:11.6,opuntiae:9.8):5.8,piercei:13.1):4.8,(australis:16.8,rinconis:16.8):0.1):7.5):7.9,enavata:28.8):5.2,(((baeri:14.8,hirta:11.3):14.4,chilensis:15.9):10.0,(ochracea:28.7,pereyrae:16.8):6.4):8.7);</t>
  </si>
  <si>
    <t>168_Stone&amp;Cook_2002_MPE</t>
  </si>
  <si>
    <t>(((((M_americana:10.8,M_foina:20.9):1.3,(M_martes:0.6,M_zibellina:1.5):6.5):1.7,M_melampus:3.1):8.6,M_flavigula:15.5):9.0,(M_pennanti:33.8,G_gulo:30.8):3.5);</t>
  </si>
  <si>
    <t>169_Strecker_etal_1996_MPE</t>
  </si>
  <si>
    <t>(((((H1:0,H2:33.2,H3:33.2):13.2,H4:27.1):26.5,H5:14.6):18.3,(H6:46.8,H7:11.3):10.2):9.5,(H8:40.1,((H9:18.2,H10:15.3):21.7,(H11:0,H12:70.8,H13:33.8):10.5):7.9):7.0);</t>
  </si>
  <si>
    <t>170_Su_etal_1999_MPE</t>
  </si>
  <si>
    <t>((((fuscus:7.9,leucogaster:6.1):3.8,chrysogaster:11.7):7.5,bijiangensis:24.7):18.4,moschiferus:33.8);</t>
  </si>
  <si>
    <t>171_Sumida_etal_2000_MPE</t>
  </si>
  <si>
    <t>(((((porosa:0,bre:5.8):35.5,fukien:46.7):18.0,nigro:35.1):36.0,((les:13.2,esc:0):53.8,rid:60.5):60.1):22.2,cates:148.0);</t>
  </si>
  <si>
    <t>172_Symula_etal_2003_MPE</t>
  </si>
  <si>
    <t>(((((amazonicus:0,ventriculatus1:0):6.9,ventrimaculatus2:11.0):6.6,(variabilis:1.7,ventrimaculatus3:29.0):15.8):9.1,((reticulatus:2.6,species:2.5):13.9,fantasticus:13.2,ventrimaculatus4:64.5):9.0):12.3,(lamasi:3.0,biolat:13.8):34.7,imitator:32.2);</t>
  </si>
  <si>
    <t>173_Tang_etal_2003_MPE</t>
  </si>
  <si>
    <t>(((((sinensis1:1.6,hepuensis:1.4):14.2,japonica1:16.2):3.2,sinensis2:18.6):3.5,japonica2:22.6):36.0,recta:58.1);</t>
  </si>
  <si>
    <t>174_Tougard_etal_2001_MPE</t>
  </si>
  <si>
    <t>(((R_sondaicus:7.7,R_unicornis:5.1):9.5,D_sumatrensis:11.7):2.8,(C_simum:8.0,D_bicornus:13.9):5.3);</t>
  </si>
  <si>
    <t>177_vanderKuyl_etal_2002_MPE</t>
  </si>
  <si>
    <t>12S</t>
  </si>
  <si>
    <t>(((T_graeca:1.434,(T_kleinmanni:0.486,T_marginata:0.662):1.028):0.328,(T_hermanni:0.661,(T_horsfieldii:1.084,I_elongata:1.954):0.121):0.354):0.319,((G_sulcata:1.305,G_pardalis:2.216):0.093,(G_denticulata:1.817,G_carbonaria:1.516):1.897):0.147);</t>
  </si>
  <si>
    <t>178_Vences_etal_2004_MPE</t>
  </si>
  <si>
    <t>12S, 16S, cyt b &amp; rhodopsin</t>
  </si>
  <si>
    <t>(((laevigala:2.083,((species:0.468,expectala:0.482):0.139,(betsileo:0.169,viriolis:0.195):0.211):0.642):0.463,(((crocea:0.051,milorymparium:0.032):0.224,(pulchra:0.232,madagascariensis:0.100):0.166):0.093,aurantiaca:0.238):0.944):0.519,(((nigricans:0.113,baroni:0.072):0.106,baraldmeien:0.176):0.075,cowani:0.220):1.380);</t>
  </si>
  <si>
    <t>179_Vink_Paterson_2003_MPE</t>
  </si>
  <si>
    <t>((((((arenvaga:1.422,urquharti:0.061):0.282,(aerescens:0.0,forsteri:0.136):0.904):0.219,(alpina:1.216,montana:0.925):0.371,litoralis:0.805):0.119,canascens:0.663):0.304,((hilaris:1.107,ralphi:0.914,(flavescens:0.26,insularis:0.457):0.192):0.127,(senica:0.525,okatainae:0.584):0.070):0.279,((hallae:0.201,westlandica:0.17):0.348,blesti:0.354):0.28):0.153,((adumbrata:0.934,lacustris:0.977):0.09,cantuaria:0.869):0.307);</t>
  </si>
  <si>
    <t>180_Voelker_1999_MPE</t>
  </si>
  <si>
    <t>(((sokokensis:1.150,(brachyurus:0.976,caffer:0.978):0.223):0.435,(((((correndera1:0.257,antarcticus:0.347):0.106,correndera2:0.131):0.712,((bogotensis:0.508,hellmayri1:0.533):0.084,hellmayri2:1.449):0.571):0.353,((spraguei:1.320,lutescens:1.185):0.129,furcatus:1.197):0.150):0.278,((((rubescens:0.860,(pratensis:1.050,(spinoletta:0.220,petrosus:1.198):0.116):0.434):0.158,roseatus:1.295):0.107,cervinus:0.723):0.435,(gustavi:2.032,(hodgsoni:0.815,trivialis:0.571):0.526):0.126):0.106):0.300):0.112,((((((((melindae:0.491,similis1:0.444):0.244,(longicaudatus:0.442,vaalensis:0.348):0.126):0.176,(cinnamomeus:1.562,similis2:0.264):0.208):0.232,(leucophrys:0.821,(berthelotii:0.191,campestris:0.749):0.696):0.252):0.075,godlewskii:1.232):0.075,(nyassae:1.355,novaeseelandiae:1.708):0.083):0.049,(richardi:0.254,rufulus:0.657):0.694):0.641,(((lineiventris:0.481,crenatus:1.330):0.592,hoeschi:0.952):0.639,sylvanus:1.785):0.147):0.411);</t>
  </si>
  <si>
    <t>181_Wares_201_MPE</t>
  </si>
  <si>
    <t>((((panamensis:2.967,(((anisoporna:0.665,fissus:0.676):0.495,cortezianus:0.59):0.187,tragilis:1.333):0.618):0.271,(proteus:0.122,mexicanus:0.397):1.14):0.375,dalli:1.473):0.575,angustitergum:0.883);</t>
  </si>
  <si>
    <t>182_Weibel_Moore_2002_MPE</t>
  </si>
  <si>
    <t>COII, cyt b</t>
  </si>
  <si>
    <t>((((((((P_lignarius:0.226,P_mixtus:0.118):0.582,(V_callonotus:0.353,V_nigriceps:0.347):0.145):0.397,(((P_nuttallii:0.168,P_scalaris:0.151):0.618,P_pubescens:0.855):0.162,P_minor:1.034):0.324):0.133,(((P_albolarvatus:0.37,P_stricklandi:0.505):0.146,P_villosus:0.257):0.471,P_borealis:1.048):0.074):0.272,D_fuscescens:1.399,(P_leucotos:0.28,P_major:0.457):0.901):0.197,(((P_canicapillus:0.486,P_maculatus:0.809):0.397,P_kizuki:0.784):0.552,(P_arcticus:1.685,P_tridactylus:1.371):0.407):0.21):0.179,((P_rubiginosus:0.721,C_auratus:0.694):0.37,D_pileatus:1.217):0.684):0.216,(M_carolinus:1.461,S_varius:1.686):0.335);</t>
  </si>
  <si>
    <t>186_Whittingham_etal_2002_MPE</t>
  </si>
  <si>
    <t>cyt b, COII, ATPase8</t>
  </si>
  <si>
    <t>((bicolor:0.073,((thalassina:0.079,euchrysea:0.052):0.007,cyaneoviridis:0.063):0.008):0.021,((stolzmanni:0.045,(albilinea:0.030,albiventer:0.026):0.020):0.012,(leucorrhoa:0.021,meyeni:0.013):0.036):0.015);</t>
  </si>
  <si>
    <t>188_Yamaguchi_etal_2000_MPE</t>
  </si>
  <si>
    <t>((benoiti:1.269,(hygomii:1.748,(taaningi:0.566,macrochir:0.485):1.726):0.396):1.238,(hanseni:2.047,(proximum:2.481,reinhardti:2.509):0.478):0.750);</t>
  </si>
  <si>
    <t>189_Ye_etal_2004_MPE</t>
  </si>
  <si>
    <t>COII, 12S, 16S</t>
  </si>
  <si>
    <t>(sibialis:1.143,((areolusoni:0.022,finnipes:0.02):0.918,(hageni:0.68,virginicus:0.558):0.305):0.034);</t>
  </si>
  <si>
    <t>190_Yokoyama_etal_2000_MPE</t>
  </si>
  <si>
    <t>rbcL, matK</t>
  </si>
  <si>
    <t>cpDNA</t>
  </si>
  <si>
    <t>(((terminalis:0.318,myrtifolia:0.224,nepalensis:0.312):0.243,(japonica:0.044,intermedia:0.422):0.568):0.224,(microphylla:0.601,(papuana:0.052,species:0.044,(arborea:0.052,(ruscifolia:0.081,(sarmentosa:0.133,lurida:0.066):0.085):0.208):0.046):0.366):0.209);</t>
  </si>
  <si>
    <t>191_Yu_etal_1999_MPE</t>
  </si>
  <si>
    <t>(((((((albonmicans:0.771,(pallidifrons:0.12,taxonIJ:0.0):0.395):0.064,(((nasuta:0.105,neonasuta:0.071):0.113,albonicans:0.456):0.362,albostrigata:0.928):0.034):0.235,kepulauana:0.776):0.122,bilimbata:1.2):0.155,((kohkoa:0.954,pulaua:1.041):0.28,sulfurigaster:0.708):0.265):0.1,taxonF:0.875):0.283,niveifrons:1.848);</t>
  </si>
  <si>
    <t>192_Yu_etal_2000_MPE</t>
  </si>
  <si>
    <t>((((((thibetana:1.447,((annectens:0.308,cansus:0.374):0.924,(curzoniae:0.390,nubrica:0.467):0.929):0.089):0.069,daurica:1.740):0.117,thomasi:1.481):0.857,huangensis:2.829):0.144,((hyperborea:1.667,alpina:1.903):0.062,princeps:1.949):0.738):0.074,((forresti:2.393,erythrotis:2.111):0.101,(((koslowi:1.770,ladacensis:2.015):0.345,(roylei:0.636,macrotis:0.555):0.973):0.055,himalayana:2.209):1.340):0.380);</t>
  </si>
  <si>
    <t>193_Taylor_etal_1996_MPE</t>
  </si>
  <si>
    <t>(((((longispina:0.676,umbra:0.619):0.151,(((thorata:0,rosea1:0):0.218,((rosea2:0.029,hyalina:0):0.050,rosea3:0.102):0.177):0.191,((galeata:0.051,mendotae:0.066):0.299,cucullata:0.560):0.155):0.226):0.561,longiremis:1.168):0.145,(laevis:0.566,dubia:0.859):0.479):0.108,pulex:1.348);</t>
  </si>
  <si>
    <t>194_Cunha_etal_2005_SysBiol</t>
  </si>
  <si>
    <t>12S, cyt b &amp; lipoprotein</t>
  </si>
  <si>
    <t>(((((((((grahami:0.153,decoratus:0.153):0.655,navarroi:0.810):0.193,lugubris:1.000):0.264,raulsilvai:1.257):0.066,((((derrubado:0.058,damottai:0.058):0.262,(diminutus:0.205,boavistensis:0.205):0.118):0.149,(navarroi:0.137,damottai2:0.137):0.327):0.562,((((((((fantasmalis:0.047,messiasi:0.047):0.067,((delanoyi:0.036,luquei:0.036):0.030,maloensis:0.070):0.037):0.019,irregularis:0.138,fuscoflavus:0.138):0.029,teodorae:0.168,iberogermanicus:0.168):0.029,salreiensis:0.192):0.041,crotchii:0.240):0.050,evorai:0.270):0.202,((((felitae:0.127,fontonae:0.127):0.088,(mordeirae:0.132,(cuneolus:0.094,pseudocuneolus:0.094,serranegrae:0.094):0.040,regonae:0.132):0.071):0.070,antoniomonteiroi:0.277):0.047,(longilineus:0.234,miruchae:0.234):0.077):0.169):0.546):0.306):0.097,((borgesi:0.113,josephinae:0.113):0.917,infinitus:1.041):0.388):0.482,(xicoi:0.958,(mercator:0.667,guanche:0.657):0.299):0.945):0.154,ventricosus:2.048):0.484,((((genuanus:0.076,Conus_species1:0.076,venulatus:0.076):0.085,(Conus_species2:0.039,trochulus:0.039):0.138):0.124,ateralbus:0.293):0.302,pulcher:0.587):1.947);</t>
  </si>
  <si>
    <t>196_Vogler_etal_2005_SysBiol</t>
  </si>
  <si>
    <t>cyt b, COI, 16S, ND1</t>
  </si>
  <si>
    <t>((((((((((((((positula:0.062,rufiventris:0.131):0.096,(cazieri:0.072,schauppi:0.117):0.163):0.082,sedecimpunctata:0.24):0.17,((scabrosa:0.042,highlandensis:0.051):0.383,abdominalis:0.469):0.291):0.384,(carthgena:0.154,haemorrhagica:0.1):0.375):0.135,(((((paxensis:0.177,hygrophoba:0.32):0.081,(lotvi:0.223,clarina:0.162):0.094):0.22,ruficapulta:0.462):0.154,nebulder:0.201):0.359,beneshi:0.49):0.135):0.299,clysanterica:0.476):0.388,(((roesiventris:0.347,scrimmeri:0.254):0.478,mathni:0.487):0.297,(pscellata:0.344,fufosenea:0.391):0.448):0.448):0.275,(((((((obsoletanequila:0.043,pesudothalestris:0.039):0.114,(obsoletata:0.222,obsoleta:0.257):0.182):0.141,craven:0.13):0.313,horni:0.531):0.277,(cessa:0.198,nigrilabris:0.212):0.424):0.199,(aternima:0.277,nigrocerulea:0.259):0.553):0.228,(((chrysippe:0.567,guerensis:0.64):0.183,tenuisignata:0.571):0.167,(rugatilis:0.237,punctaulaia:0.394):0.514):0.362):0.276):0.235,((cyanivenra:0.153,seneicolis:0.144):0.97,aurora:1.118):0.433):0.276,(((((((((limgaiis:0.053,decemnotata:0.05):0.004,denverensis:0.029):0.021,(purpurea:0.0,splendida:0.0):0.036):0.525,scultellaria:0.576):0.236,((primeriana:0.119,fulgida:0.152):0.348,parawania:0.349):0.27):0.137,((lengi:0.207,willistoni:0.168):0.454,(traguebarica:0.181,latesignata:0.11):0.618):0.233):0.092,(((longlabris:0.167,nebraskana:0.232):0.116,(secguttata:0.07,patruela:0.061):0.384):0.235,(formosa:0.743,pulchna:0.571):0.163):0.196):0.18,armagossa:0.654):0.33,(((((((((oregona:0.077,depressula:0.027):0.027,belissima:0.03):0.027,limbeta:0.048):0.062,(aurenicola:0.07,colombica:0.037):0.064):0.06,theatina:0.107):0.274,duodecimiguttata:0.442):0.217,rependa:0.665):0.344,maritima:0.506):0.232,hirticolis:0.596):0.387):0.16):0.273,(((((((preateniata:0.018,fulgoris:0.015):0.267,circumpicta:0.395):0.205,(californicarnojavernsis:0.354,californicabrevihamata:0.396):0.31):0.236,(((servera:0.337,striga:0.247):0.461,pamphila:0.687):0.267,logata:0.572):0.174):0.345,gabba:0.926):0.564,(infasciata:0.485,auraria:0.605):0.512):0.28,((((macronema:0.518,leuconce:0.548):0.803,chlorosephalis:0.981):0.604,graphiptera:1.231):0.659,((venusta:0.124,curvata:0.073):0.346,dorsalis:0.415):0.633):0.425):0.321):0.216,(((((schrammeli:0.059,dugeti:0.092):0.278,sinelow:0.184):0.581,schwarzi:0.925):0.136,branchi:0.392):0.507,lemniscata:0.904):0.311):0.348,((((((((((((wapleri:0.105,macra:0.066):0.056,puritana:0.13):0.025,((isoperata:0.016,imaurtha:0.024):0.016,icupraecens:0.099):0.036):0.078,ibianda:0.177):0.106,gratiosa:0.222):0.112,lepida:0.208):0.17,hirliabris:0.359):0.351,invadica:0.49):0.265,(hamata:0.033,marginata:0.102):0.456):0.35,(((hamicola:0.03,icinctpennis:0.0):0.191,inephalota:0.125):0.418,icelenpes:0.456):0.301):0.231,debilis:0.461):0.31,belfragei:0.784):0.303);</t>
  </si>
  <si>
    <t>197_Sasaki_etal_2005_SystBiol</t>
  </si>
  <si>
    <t>complete</t>
  </si>
  <si>
    <t>((bowhead_whale:17.1,(northern_right_whale:4.4,southern_right_whale:4.4):12.7):10.2,(pygmy_right_whale:23.3,(gray_whale:19.3,(blue_whale:15.0,(Brydes_whale:6.9,Sei_whale:6.9):8.1):4.3,(humpback_whale:15.3,fin_whale:15.3):4.0,(Antarctic_minke_whale:10.4,North_Atalntic_minke_whale:10.4):8.9):4.0):4.0);</t>
  </si>
  <si>
    <t>198_PerezLosada_etal_2004_SystBiol</t>
  </si>
  <si>
    <t>12S, 16S, COI, COII &amp; 18S, 28S</t>
  </si>
  <si>
    <t>(((bahamaondei:0.286,occidentalis:0.348):1.806,(nenquensis:0.957,affinis:0.683):0.113,(alacalufi:0.616,(manni:0.717,(heuicollensis:0.878,denticulara:0.710):0.062):0.036):0.16):0.149,(((riolimayana:0.401,abiao:0.477):0.446,(spectabile:0.843,(araucaniensis:0.48,(pewenchae:0.588,(laevis:1.164,cholchol:0.905,rostrata:0.921):0.042):0.205):0.11):0.038):0.122,((spinipalma:0.852,(marginata:1.659,(camargoi:1.008,((paulensis:1.247,(perobae:1.971,((parva:0.445,castro:0.945):0.195,((parna:0.667,schmitti:0.574):0.063,(cavernicola:0.396,strinatti:0.496):0.493):0.049):0.263):0.093):0.068,((sp2:0.777,leptodactyla:1.0):0.069,(sp3:1.002,jarai:0.993,spinosa:0.68,odebrechtii:1.2):0.332):0.064):0.048):0.115):0.02):0.03,((((singularis:0.616,platensis:0.689):0.58,((rossiana:0.464,uruguayana:0.664):0.16,platensis:0.675):0.156):0.8,((intercalata:0.872,(prado:1.172,violacea:1.557):0.391):0.287,(humahuaca:1.3,(sp6:1.013,(septentrionalis:1.158,(jujuyana:0.486,sanlorenzo:0.85):0.613):0.174):0.236):0.356):0.055):0.145,((((sp1:0.929,sp5:0.98):0.23,(marginata:0.0,leplchela:0.0):0.629):0.567,(inconspicua:1.316,(serrana:1.215,(franciscana:0.442,ligulata:0.502):0.57):0.134):0.095):0.085,(obstipa:1.214,(sp4:1.047,itacolomiensis:1.901):0.171,(plana:0.725,grisella:0.816,inermis:0.997,longirostri:1.025):0.122):0.25):0.127):0.167):0.303):0.133);</t>
  </si>
  <si>
    <t>199_Jordal&amp;Hewitt_2004_SystBiol</t>
  </si>
  <si>
    <t>16S, COI &amp; EF1-alpha, Enolase</t>
  </si>
  <si>
    <t>(armatum:2.39,(((pygmaeum:1.094,canariense:1.404):0.84,(orientalis:2.063,(Co_luridus:1.108,((Co_allaudi:0.972,mairei:0.76):0.112,Co_germeauxi:1.18):0.237):0.372):0.186):0.604,(bicinctum:1.328,(canescens:0.882,((glabrum:0.073,subglabrum:0.08):0.646,((aeoni:0.41,wollastoni:0.41):0.323,((bicolor:0.524,(hesperidum:0.383,piscatorium:0.469):0.202):0.209,((euphorbiae:0.612,affine:0.775):0.415,jubae:1.019):0.128):0.059):0.233):0.438):0.22):0.974):0.41);</t>
  </si>
  <si>
    <t>200_Degnan_etal_2004_SystBiol</t>
  </si>
  <si>
    <t>COI, COII &amp; EF1-alpha</t>
  </si>
  <si>
    <t>((((sansabeanus:0.246,vicinus:0.232):0.241,(((laevigaus:0.146,novaboracensis:0.095):0.032,(chromaiodes:0.044,pennsylvanicus:0.054):0.053):0.18,(americanus:0.098,castaneus:0.045):0.233):0.060):0.0789,((sayi:0.307,nearcticus:0.368):0.098,schaefferi:0.445):0.091,ocreatus:0.663):0.165,(((vafer:0.507,festinatus:0.569):0.166,ulcerosus:1.148):0.114,floridanus:0.7):0.331);</t>
  </si>
  <si>
    <t>201_Sorenson_etal_2004_SysBiol</t>
  </si>
  <si>
    <t>ND1, ND2, 12S, ATPase8, 16S, COII, ATPase6, ND5</t>
  </si>
  <si>
    <t>(((fisheri:0.207,regia:0.215):0.056,(((nigeriae:0.0,camerunensis:0.0,raricola:0.0,maryae:0.0,larvaticola:0.0,wilsoni:0.0):0.075,(funerea:0.0,purpurascens:0.0,codringtoni:0.0,chalybeata:0.0):0.075):0.050,chalybeata:0.126):0.149):0.447,((((paradisaea:0.059,obtusa:0.059):0.057,(orientalis:0.032,(interjecta:0.0,togoensis:0.0):0.032):0.074):0.469,macroura:0.586):0.08,hypocherina:0.656):0.077);</t>
  </si>
  <si>
    <t>202_Jennings_etal_2003_SystBiol</t>
  </si>
  <si>
    <t>16S, ND2</t>
  </si>
  <si>
    <t>((((((aurita:1.51,(inaurita:1.061,((parapulchella:0.316,pseudopulchella:0.316):0.694,striolata:1.013):0.062):0.447):0.278,((fusca:1.014,(repens:0.818,smithi:0.818):0.191):0.26,(picturata:1.135,pulchella:1.135):0.159):0.514):0.781,taeniatus:2.574,gracilis:2.574):0.328,(orientalis:2.146,(lepidopodus:1.852,nigriceps:1.852):0.287):0.766):0.248,(burtonis:1.453,jicari:1.453):1.72):0.257,((concinna:2.433,labialis:2.433):0.138,((australis:1.344,torquata:1.344):0.954,(((borea:0.652,tincta:0.652):0.103,pax:0.789):1.188,(((butleri:0.537,nasuta:0.537):0.907,((petersoni:1.229,(fraseri:0.852,grayii:0.852):0.362):0.134,inornata:1.352):0.075):0.359,(mitella:1.306,(molleri:1.042,impar:1.042):0.264):0.501):0.175):0.323):0.275):0.849);</t>
  </si>
  <si>
    <t>203_Evans_etal_2003_SystBiol</t>
  </si>
  <si>
    <t>8&amp;9</t>
  </si>
  <si>
    <t>((((((kardasian:0.651,microdiscus:0.866):0.185,(gyldenstolpei:0.337,laticeps:0.287):0.105):0.373,kuhlii2:0.377):0.385,kuhlii1:0.639):0.391,(kuhlii3:0.346,asperatus:0.168):0.552):0.243,(leporinus:0.697,((fincki:0.194,(palavanensis:0.352,parvus:0.099):0.094):0.652,((((((blythii1:0.3,((blythii2:0.247,macrodon:0.235):0.143,(ingeri:0.139,malesiana:0.155):0.193):0.175):0.503,paramacrodon:0.734):0.095,blythii3:0.262):0.188,ibanorum:0.281):0.345,(grunniens:0.25,((EC:0.058,WC:0.36):0.044,(SE:0.086,(EC:0.065,Togian:0.082):0.021):0.053):0.181):0.438):0.292,((((leytensis_boh:0.118,leytensis_sam:0.117):0.026,leytensis_sib:0.120):0.102,leytensis_min:0.265):0.608,((cf_acanthi:0.384,acanthi:0.649):0.272,((((((((magnus:0.594,magnuscf:0.567):0.076,((macrocephalus:0.449,visayanus:0.539):0.123,woodworthi:0.571):0.099):0.123,(modestus1:0.359,modestus2:0.551):0.418):0.1,(((spV1:0.131,spV2:0.441):0.362,heinrichi:0.495):0.212,spT:0.764):0.098):0.069,sp1:0.661):0.221,spG2:1.047):0.095,(microtympanum1:0.519,microtympanum2:0.533):0.173):0.135,((spD:0.362,sp2:0.725):0.244,arathooni:0.441):0.137):0.172):0.245):0.421):0.185):0.291):0.34);</t>
  </si>
  <si>
    <t>204_Nepokroeff_etal_2003_SysBiol</t>
  </si>
  <si>
    <t>K80+G</t>
  </si>
  <si>
    <t>(((((marianiana:0.064,hawaiiensis:0.321):0.194,wawae:0.143):0.146,((((hawaiiensis:0.135,mauiensis:0.0):0.096,(fauriei:0.121,hathewayi:0.137):0.08):0.025,kaduana:0.076):0.035,greenwelliae:0.133):0.379):0.222,(grandiflora:0.204,hobdyi:0.43):0.569):0.021,hexandra:0.77);</t>
  </si>
  <si>
    <t>205_Yang&amp;Yoder_2003_SystBiol</t>
  </si>
  <si>
    <t>JC</t>
  </si>
  <si>
    <t>((ravelobensis:0.302,(sambiranensis:0.178,rufus2:0.162,tavaratra:0.149,(rufus1:0.092,berthae:0.096,myoxinus:0.096):0.074):0.133):0.082,(griseorufus:0.286,murinus:0.291):0.106);</t>
  </si>
  <si>
    <t>207_Jordan_etal_2003_SystBiol</t>
  </si>
  <si>
    <t>((((((hawaiiense:16.3,(((paludicola:6.2,mauka:8.4):10.6,((vagabundum:0,eudytum2:1.3):2.0,((eudytum1:2.2,adytum:1.6):2.5,species_nov:1.3):2.0):6.3):4.5,(nesioles:6.0,oahuense:8.5):7.8):0.7):6.4,koelense:30.0):1.9,((blackburni:15.2,oceanicum:9.2):8.9,heterogamlas:12.3):11.3):2.0,kaualense:14.2):23.8,(pacificum:3.0,xanthomolas:7.4):56.9):9.7,((nigrohamatum:26.6,orobustes:29.2):35.2,((leptodemas:11.8,calliphya:6.2):27.0,oresitrophum:18.8):13.5):9.6);</t>
  </si>
  <si>
    <t>208_Hormiga_etal_2002_SystBiol</t>
  </si>
  <si>
    <t>COII, 16S &amp; 28S, 18S, ITS, EF1-alpha</t>
  </si>
  <si>
    <t>((calx:46.8,((iudicium:13.1,bellum:13.1):5.0,ventus:18.1):28.3):28.5,(malus:66.5,(arcanus:47.4,((ambersonorum:27.5,polites:27.5):12.5,((falstaffius:27.4,graphicus:27.4):7.5,(othello:26.3,macbeth:26.3):8.6):5.4):7.4):19.0):9.0);</t>
  </si>
  <si>
    <t>210_Packert_etal_2005_BJLS</t>
  </si>
  <si>
    <t>(monticolus:0.918,((bok:0.124,maj:0.075):0.250,(cin:0.266,min:0.191):0.10):0.145);</t>
  </si>
  <si>
    <t>211_VonRintelen&amp;Glaubrecht_2005_BJLS</t>
  </si>
  <si>
    <t>((((carbo:3.0,toradjarum:4.0):9.8,(neritiformis:0,porcellanica:3.0,centaurus:0):13.2):5.6,kuli:24.3):10.2,((gemmifera:4.1,patriarchalis:5.0,zeamais:6.6):6.5,(towutensis:3.2,towutica:0):9.1):10.8,(kruimeli:14.0,(insulaesacrae:2.2,sarasinorum:3.2):9.1):17.3,perfecta:16.8);</t>
  </si>
  <si>
    <t>212_Warren_etal_2005_BJLS</t>
  </si>
  <si>
    <t>ND3</t>
  </si>
  <si>
    <t>(((barbonicus:3.1,(madagascariensis1:10.5,olivaceus:4.6):3.1):2.0,((crassirotris:5.5,madagascariensis2:11.9):1.7,parvirostris:8.5):3.1):10.0,philippinus:18.5);</t>
  </si>
  <si>
    <t>213_Amer&amp;Kumazawa_2005_BJLS</t>
  </si>
  <si>
    <t>(hardwickii:45.2,((macfadyeni:24.9,(geyri:12.9,(acanthinura:7.8,dispar:9.9):3.3):11.5):4.1,(aegyptia:25.4,(benti:21.2,(ocellata:17.7,ornata:15.1):4.1):5.0):2.2):14.8);</t>
  </si>
  <si>
    <t>214_Tucker_etal_2005_BJLS</t>
  </si>
  <si>
    <t>cyt b, 12S &amp; B2m, Zp3, Tcp1,Sry,Smcx, Smcy</t>
  </si>
  <si>
    <t>((M_m:8.8,((macedonius:4.7,spicilegus:5.2):3.5,spretus:11.2):1.6):14.3,((cervicolor:13.0,cookii:10.0):3.1,caroli:17.5):3.0);</t>
  </si>
  <si>
    <t>215_Lavrenchenko_etal_2004_BJLS</t>
  </si>
  <si>
    <t>16S, cyt b</t>
  </si>
  <si>
    <t>((L_sikapusi:19.8,L_ansorgei:28.5):6.5,(((L_brunneus:14.0,((L_brevicaudus:23.0,((L_melanonyx:10.7,(Menagesha:6.2,North_II:7.0):2.2):2.5,Chercher:13.2,L_sikapusi:9.7):4.3):1.1,(L_flavopunctatus:3.2,L_brunneus2:4.4):11.0):1.4):2.0,North_I:21.1):2.5,L_chrysopus:30.0):7.8);</t>
  </si>
  <si>
    <t>216_Chapple&amp;Keough_2003_BJLS</t>
  </si>
  <si>
    <t>ND4, 16S &amp; b-Fibrinogenintro</t>
  </si>
  <si>
    <t>((((((margaretae:6.3,whiteii:6.4):15.9,(montana:16.1,guthega:15.2):2.8):0.6,personata:19.0):2.0,(margaretae:23.1,modesta:23.8):3.6):2.6,(((inornata:12.1,multiscutata:15.5):0.9,(kintorei:6.0,striata:9.8):5.2):4.3,pulchra:21.0):3.0):4.8,((saxatilis:16.8,spp:26.7):1.0,major:16.3):8.1);</t>
  </si>
  <si>
    <t>219_Gaubert_etal_2004_BJLS</t>
  </si>
  <si>
    <t>GTR_G</t>
  </si>
  <si>
    <t>(thierryi:35.9,(victoriae:6.1,((servalina:10.9,cristata:6.5):13.2,((piscivora:18.8,johnstoni:25.8):6.3,(genetta2:33.5,((angolensis:8.5,genetta1:17.0):6.2,((pardina:7.0,(poensis:5.0,(bourloni:2.8,schoutedeni:11.7):1.7):7.4):3.0,(maculata:4.0,tigrina:3.4):7.6):6.7):6.5):7.1):4.0):7.7):7.3);</t>
  </si>
  <si>
    <t>221_ParraOlea_etal_2004_BJLS</t>
  </si>
  <si>
    <t>(((dofleini:14.0,alvaradoi:9.5):6.0,((((((alberchi:4.5,((mexicana:3.0,(mombachoensis:0.9,striatula:1.4):2.9):1.4,yucatana:4.1):1.2):0.7,odonnelli:4.0):2.8,(flaviventris:9.0,platydactyla:5.0):1.7):4.5,((accidentalis:10.0,rufescens:16.4):12.2,hartwegi:8.3):2.5):4.0,(((((adspersa:3.2,species1:3.5):0.4,(sima:6.1,biseriata:5.4):4.4):0.5,((medemi:11.6,palmata:4.2,(peruviana1:9.1,paraensis:9.7):1.2):0.4,(altamazonica:4.6,peruviana2:4.6):2.0):1.0):4.5,((species2:7.3,schizodactyla:7.0):0.5,colonnea:10.2):1.7):3.7,((cerroensis:5.5,((marmorea:2.8,epimela:8.6):0.4,minutula:5.8):1.3):3.4,(((subpalmata:2.7,species4:2.5):0.4,gracilis:4.0):0.5,pesrubra:3.5):5.8):1.7):7.6):1.8,((((((morio:1.4,flavimembris:2.5):6.6,(carri:5.8,(conanti:5.2,(diaphora:5.6,dunni:5.3):0.5):1.1):0.7):1.1,((celaque:1.5,synoria:2.2):1.8,species3:5.0):2.0):0.8,(decora:6.8,(longissima:7.5,porrasorum:5.5):0.9):0.5):1.7,(franklini:3.0,lincolni:3.2):5.3):2.6,(engelhardti:5.5,rostrata:6.0):4.9):1.6):1.7):1.2,(((hermosa:2.9,rileta:3.9):5.4,zapoteca:5.1):1.9,(macrinii:2.7,oaxacensis:2.3):3.7):3.6);</t>
  </si>
  <si>
    <t>222_Steppan_etal_2003_BJLS</t>
  </si>
  <si>
    <t>(((((AC:21.5,B:21.5):3.7,musculus:24.8):5.0,microdon:30.3):6.1,(((hylocoetes:2.0,insignis:2.0):15.9,F:17.7):10.0,D:27.9):8.4):11.2,(datae:38.8,gracilirostris:38.8):8.5);</t>
  </si>
  <si>
    <t>223_Suzuki_etal_2003_BJLS</t>
  </si>
  <si>
    <t>IRBP</t>
  </si>
  <si>
    <t>(((agrarius:4.7,chevrieri:4.7):42.8,((draco:8.4,semolus:8.4):8.1,latronum:16.5):31.0,peninsulae:47.5,speciosus:47.5):9.5,argerateus:57.0,guricha:57.0,(alpicola:13.5,flavicollis:13.5,sylvanicus:13.5,(uraiensis:2.2,wardi:2.2):11.3):43.5);</t>
  </si>
  <si>
    <t>224_Tsigenopoulos_etal_2003_BJLS</t>
  </si>
  <si>
    <t>((((((((Barbus_species3:5.6,callensis2:5.6):11.9,(Barbus_species4:13.0,callensis1:13.0):4.6):1.3,((moulouyensis:16.6,pallaryi:16.6):1.2,nasus:17.8):0.9):0.3,biscarensis:19.2,(((magniatlantis:11.5,labiosa:11.5):2.2,Barbus_species2:13.7):3.4,massaensis:17.0):2.2):3.2,lepineyi:22.5):7.9,(((rajanorum:6.8,xanthopierus:6.8):7.1,capito2:13.9,longiceps:13.9):4.0,(capito1:13.9,brachycephalus:13.9):4.0):12.5):5.8,((((bocagei:4.8,comizo:4.8):12.3,(setivimensis:15.6,sclateri:15.6):1.5):5.4,((guiraonis:5.5,microcephalus:5.5):3.7,graellsii:9.3):13.4):12.5,(((angorae:14.6,capocta:14.6):13.5,trutta:28.2):3.1,subquincunciatus:31.3):3.9):1.1,(graecus:28.0,albanicus:28.0):7.8):2.3,mursa:38.8);</t>
  </si>
  <si>
    <t>228_Garcia_etal_2002_BJLS</t>
  </si>
  <si>
    <t>((((((adioffi:12.0,viarius:9.1):2.3,(beilottil:9.0,nioni:9.0):1.3):1.5,gymnovenris:15.2,(wolterstorffi:11.5,cheradophilus:6.7):1.3):3.7,nigripinnis:17.6):2.4,(cyaneus1:5.5,(duraznensis:7.9,affinis:6.7):3.7):3.6):6.1,cyaneus2:3.0);</t>
  </si>
  <si>
    <t>229_Ota_etal_2002_BJLS</t>
  </si>
  <si>
    <t>((kuehnei:25.6,sexlineatus:38.6):9.6,(tachydromoides:32.5,((smaragdinus:22.1,(dorsalis:18.2,sauteri:15.9):6.0):3.0,(amurensis:17.7,((hsuehshanensis:9.5,(wolteri:11.0,formosanus:8.2):2.5):4.5,(toyami:10.5,(stejnegeri:6.3,septentrionalis:6.8):3.4):10.3):10.0):6.7):4.0):5.1);</t>
  </si>
  <si>
    <t>230_Remigio_etal_2001_BJLS</t>
  </si>
  <si>
    <t>(((((longicaudata:0.9,POP3:1.7):0.5,POP1:1.1):2.8,(cylindifera:2.3,(POP5:3.6,zietziana:3.2):2.3):1.6):0.7,(extracta:3.4,((contracta:0,serventyi:5.9):2.9,(POP2:1.2,informis:0):2.3,POP4:2.1):1.4):0.7):2.5,minuta:5.2);</t>
  </si>
  <si>
    <t>231_Kimball_etal_2001_BJLS</t>
  </si>
  <si>
    <t>(((((P_bicalcaratum:1.9,P_chalcurum:1.7):1.7,P_inopinatum:3.0):1.5,P_germaini:3.8):3.6,P_malacense:10.0):3.0,P_emphanum:9.5);</t>
  </si>
  <si>
    <t>232_Goodacre&amp;Wade_2001_BJLS</t>
  </si>
  <si>
    <t>(((((tristis:27.0,affinis1:18.6):3.7,(filosa:10.6,otaheitana1:14.1):6.3):1.0,(((((mirabilis:6.4,(affinis2:4.5,otaheitana2:4.5):8.5):4.5,suturalis2:3.2):5.0,taeniata2:1.1):1.0,suturalis1:2.6):7.0,nodosa:12.2):10.6,suturalis3:24.1):1.0,((((mooreana:4.2,taeniata1:5.1):2.0,taeniata3:5.0,tohiveana:5.0):13.1,clara:17.9):11.6,(rosea:22.7,varia:19.6):6.4):1.0):6.3,hebe:39.4);</t>
  </si>
  <si>
    <t>234_Mascheretti&amp;Mirol_2000_BJLS</t>
  </si>
  <si>
    <t>((((((((((pilarensis:1.5,occultus:2.1):1.1,argentinus:1.7):0.7,latro:4.5):8.1,juris:3.3):3.4,leucodon:24.0):0.9,((roigi:3.0,dorbignyi:2.4):6.9,opimus:10.7):1.7):1.0,(((((boliviensis2:3.0,goodfellowi:3.6):6.9,(boliviensis1:5.0,nattereri:4.3):9.0):1.5,steinbachi:16.0):2.9,tucumanus:9.0):0.7,haigi:9.5):1.0,(((bergi:0,bonettoi:2.4):2.7,(mendocinus:7.6,azarae:7.0):0.7):2.5,(pundti:5.0,talarum:1.6):5.7):1.8):1.0,scagliai:13.1):2.5,tuconax:25.7):2.3,((conoveri:12.8,lewisi:9.0):1.0,frater:12.5):4.6);</t>
  </si>
  <si>
    <t>235_Johnson_etal_2005_AnEntSocAm</t>
  </si>
  <si>
    <t>((((montana:4.2,camensis:3.5):0.5,((bracatus:2.5,(naomi:3.7,solus:3.6):0.7):0.8,(affinis:3.3,((pallidus:0.6,variabillis:2.3):3.5,serratus:2.0):0.3):1.1):0.5):3.7,rivalis:3.6):40.0,(calvus:0,(ochoco:0.8,similis:1.2):1.5):50.5);</t>
  </si>
  <si>
    <t>236_Spicer&amp;Bell_2002_AnnEntSocAm</t>
  </si>
  <si>
    <t>(((((avericava:0.036,novanexicene:0.036):0.109,texene:0.134):0.676,haumei:0.812):0.117,virilis:0.919):0.67,(kinerkoi:1.399,(exaene:0.984,(littoralis:0.086,canadensis:0.086):0.903):0.424):0.186,(borealis_E:0.907,(((borealis_W:0.114,bacicola:0.114):0.059,monatana:0.165):0.431,flavasulasa:0.596):0.317):0.665);</t>
  </si>
  <si>
    <t>237_Kruse&amp;Sperling_2002_AnEntSocAm</t>
  </si>
  <si>
    <t>((((((tarsina:1.242,fuscacapreana:0.866):0.088,((negundlana:0.834,semiferana:0.555):0.697,(greisca:0.884,magnoliana:1.231):0.125):0.242):0.116,(((argyrospila:0.615,goyerana:0.389):0.630,urgriplagana:1.289):0.527,georgiana:1.873):0.246):0.161,((infumatara:0.746,(ferridana:0.708,cerasivarana:0.769):0.188):1.017,rileyana:1.671):0.544):0.152,((packardiensis:0.127,alberta:0.232):0.371,striana:0.394):1.571):0.251,purpurana:1.928);</t>
  </si>
  <si>
    <t>238.1_Church&amp;Taylor_2005_AJB</t>
  </si>
  <si>
    <t>trnS-G, trnL</t>
  </si>
  <si>
    <t>((((serpyllifolia:2.244,caeralea:0.677):0.475,(pusilla:1.57,micrantha:0.947):1.317):0.456,(rosea:1.709,procumbens:1.673):1.186):0.141,serpyllifolia:0.913);</t>
  </si>
  <si>
    <t>238.3_Church&amp;Taylor_2005_AJB</t>
  </si>
  <si>
    <t>(((rubra:1.987,wrightii:0.0):1.142,humifusa:2.495):0.145,((acerosa:1.634,palmeri:0.354):0.425,(nigricans:0.246,butterwickiae:0.324):0.314):0.189);</t>
  </si>
  <si>
    <t>239_Chung_2005_AJB</t>
  </si>
  <si>
    <t>(((((andicola:0.037,(argentea:0.03,brevipes:0.069,ciliata:0.0,eropoda:0.034):0.027,(bomeensis:0.059,nanjuensis:0.051):0.045,azoreallacae:0.041,(colensoi:0.047,ramosa:0.080):0.05,eropoda:0.042,gunnii:0.047,lijnearis:0.042,papuana:0.086):0.029,(procumbens:0.047,tainturieri:0.033):0.193):0.083,temulum:0.537):0.174,((((((aromaticum:0.053,atlanticum:0.053):0.064,azoricum:0.117):0.054,bulbosum:0.0):0.068,((astrantiae:0.076,macrospermum:0.088):0.064,macropodum:0.219):0.037,aureum:0.144):0.052,(byzantium:0.025,libanoticum:0.03):0.208,(crinitum:0.113,khorossanicum:0.393):0.021,meyeri:0.089):0.401,nodosun:0.074):0.048):0.048,(elegans:0.017,magellense:0.134,villarsii:0.154):0.216);</t>
  </si>
  <si>
    <t>243_Cieslak_etal_2005_AJB</t>
  </si>
  <si>
    <t>matK, trnK</t>
  </si>
  <si>
    <t>(((((((((((sp:0.0,rectifolia:0.0):0.016,emarginata:0.055):0.023,sp:0.083):0.025,((moranensis:0.0,laureana:0.014):0.062,medusina:0.186):0.034):0.025,(moctezumae:0.052,accuminata:0.059):0.076):0.054,((agnata:0.024,gigantea:0.056):0.042,sharpii:0.371):0.035):0.053,(esseriana:0.057,ehlersiae:0.081):0.09):0.053,((gracilis:0.0,rotundiflora:0.041):0.14,filifolia:0.37):0.031):0.122,alpina:0.284):0.074,((ramosa:0.193,villosa:0.33):0.032,variegata:0.419):0.087):0.021,((frandiflora:0.024,fontiqueriana:0.04,bulgaris:0.019,macroceras:0.023,mundi:0.02,nevadensis:0.042,vulgaris:0.028,fiorii:0.02,longifolia:0.02,corsica:0.032,vallisneriifolia:0.019):0.08,((leproceras:0.03,congifolia:0.065):0.087,poldinii:0.108):0.056):0.111,(((ionantha:0.066,primulifolia:0.102):0.023,lutea:0.071):0.417,(crystallina:0.555,lustanica:0.122):0.177):0.114);</t>
  </si>
  <si>
    <t>248_Kay_etal_2005_AJB</t>
  </si>
  <si>
    <t>supplied by author</t>
  </si>
  <si>
    <t>ITS, ETS</t>
  </si>
  <si>
    <t>((mont:0.145743,(com:0.09262300,(osa:0.07189800,lim:0.092579):0.01014100):0.02963400):0.08298700,(((((malo:0.09288500,(amaz:0.07143700,((aspl:0.10284600,(arab:0.07197000,(clav:0.01001600,guan:0.02011300):0.01026200):0.093523):0.02047600,(varz:0.09391500,(eryt:0.07134200,lon:0.05315300):0.03143300):0.032242):0.04810700):0.01062300):0.02013600,((((((alle:0.05323200,vill:0.07978300):0.03961500,(guan:0.08263100,(leuc:0.05055600,(varz:0.08260200,(ery:0.07914300,spir:0.070512):0.01183300):0.01967600):0.02106900):0.03149400):0.02308300,(brac:0.07193500,lasi:0.081893):0.04781100):0.01477000,(wils:0.061174,laev:0.040035):0.143825):0.02004300,barb:0.07112100):0.01087200,((zin:0.18957500,char:0.12587300):0.03981500,(pro:0.07167400,((pulv:0.065335,(spic:0.01005500,scab:0.021038):0.09236600):0.01973900,(wood:0.040557,(wils:0.060343,pul_OsaBE:0.060252):0.009882):0.01117900):0.06854500):0.01201900):0.02000200):0.01039500):0.05442200,vin:0.13690400):0.02006000,sten:0.16646300):0.01073700,(dirz:0.08153900,pic:0.06020900):0.01605400):0.01041800);</t>
  </si>
  <si>
    <t>249_Lee_etal_2005_AJB</t>
  </si>
  <si>
    <t>matK, trnK &amp; ITS</t>
  </si>
  <si>
    <t>cpDNA &amp; nuDNA</t>
  </si>
  <si>
    <t>GTR+I</t>
  </si>
  <si>
    <t>((pinnatifidus:0.161,(brachylobus:0.281,(wildpretii:0.134,arborea:0.287):0.265):0.153):0.139,((tuberifer:1.107,fauces_orci:0.827):0.135,(pinnata:0.146,canariensis:0.274,(microcarpa:0.0,capillaris:0.0):0.291,heterophylla:0.687,(gonzalezpadronii:0.155,ortunoi:0.41,radicatus:0.0,tectifolius:0.148):0.264):0.4,((ustulatus:0.101,(pinnatus:0.154,fruticosus:0.0):0.671):0.139,(congestus:0.273,(acaulis:0.556,(palmensis:0.425,canariensis:0.144):0.28,(gandogeri:0.29,daltonii:0.15,hierrensis:0.154,bornmuelleri:0.0):0.414):0.135):0.273):0.268):0.144);</t>
  </si>
  <si>
    <t>250_Lledeo_etal_2005_AJB</t>
  </si>
  <si>
    <t>rbcL, trnL, trnl-F</t>
  </si>
  <si>
    <t>((((macrophyllum:1.393,arborescens:1.393):0.188,(svenlenii:1.254,fruticaris:1.254):0.331):0.282,((((spectabile:0.816,moretii:0.816):0.484,lobatum:1.306):0.246,beaurnieranum:1.553):0.042,sinuatum:1.604):0.261):1.28,((((((((A_peregrinum:0.771,A_purpuratum:0.771):0.323,(narbonense:0.517,vulgare:0.517):0.577):0.185,camosum:1.290):0.222,globufiferum:1.51):0.556,(pectinatum:1.612,(stocksii:0.961,(somatorum:0.788,axillare:0.788):0.173):0.645):0.457):0.159,((tenetium:0.8,(sinense:0.755,tetragonum:0.755):0.044):0.938,bellioifolium:1.745):0.483):0.137,((((echioides:1.206,(thiniense:0.455,perplexum:0.455):0.764):0.197,rigualii:1.427):0.348,((((((((duloni:0.765,densissimum:0.765):0.216,santapolense:0.995):0.103,densissimum:1.098):0.194,furfuraceum:1.301):0.109,binerosum:1.419):0.047,(parvixacteatum:0.901,biflorum:0.901):0.566):0.043,carthagienese:1.508):0.179,((((cossoniarium:0.454,delicatulum:0.454):0.372,girarmarium:0.819):0.372,estevei:1.209):0.269,mansanetiarium:1.473):0.201):0.084):0.383,((insigne:1.428,caesium:1.428):0.21,tuberculatum:1.645):0.544):0.167):0.222,dendroides:2.598):0.548);</t>
  </si>
  <si>
    <t>251_Mansion&amp;Zeltner_2004_AJB</t>
  </si>
  <si>
    <t>trnL, trnL-F &amp; ITS</t>
  </si>
  <si>
    <t>(Z_abramsii:31.5,(((((Z_namophila:1.0,Z_malenbergii2:1.0):1.0,Z_nevadensis:2.0):5.5,Z_trichantha:7.6):19.0,((Z_venusta:4.0,Z_mahlenbergii:4.0):21.0,(Z_exaltata:3.4,Z_undet:3.4):21.6):1.4):3.1,(Z_multicaulis:23.8,(Z_arizonica:10.6,(Z_maryanna:9.4,(Z_glandulifera:8.4,(Z_beyrichii:7.6,(Z_breviflora:6.0,(Z_calycosa:2.1,Z_texensis:2.1):4.0):1.6):0.4):0.8):1.0):12.8):5.5,((Z_undet_bis:19.6,(Z_martinii:10.9,(Z_madrensis:6.7,Z_setacea:6.7):4.2):8.5):3.5,(Z_quitensis:18.9,(Z_stricta:7.3,(Z_pusilla:5.2,Z_wigginrii:5.2):2.1):11.6):4.3):6.1):1.9);</t>
  </si>
  <si>
    <t>253_McKown_etal_2005_AJB</t>
  </si>
  <si>
    <t>((((((floridana:3.2,linearis2:4.8):5.8,(oppositifolia:1.8,pubescens:0):2.8,brownii:4.3,linearis1:14.7,chloraefolia:9.3):21.1,anomala:49.6):5.8,((((trinervia:0,australasica:2.2):7.1,((kochiana:6.2,vaginata:3.3):4.5,bidentis:9.5):16.2):6.1,(campestris:12.4,palmeri:6.4):13.5):13.4,ramosissima:20.0):17.7):3.0,(pringlei2:6.2,angustifolia:3.5):30.0,(robusta:28.9,sonorensis:31.6):2.9):7.3,(pringlei:25.2,cronquistii:19.7):3.1);</t>
  </si>
  <si>
    <t>257_Schnabel_etal_2003_AJB</t>
  </si>
  <si>
    <t>((amorphoides:0.01,(rolfei:0.001,sinensis:0.001):0.002):0.001,((microphylla:0.006,(fera:0.002,australis:0.003):0.002):0.003,((delavayi:0.001,japonica:0.001,capsica:0.001):0.006,(aquatica:0.001,triacanthos:0.0):0.001):0.004):0.002);</t>
  </si>
  <si>
    <t>258_Scheuttpelz&amp;Hoot_2004_AJB</t>
  </si>
  <si>
    <t>atpB-rbcL, trnL-F &amp; ITS</t>
  </si>
  <si>
    <t>(natans:28.8,((scaposa:13.8,palustris:18.9):11.0,(leptosepala:14.0,(sagittata:26.0,((appendiculata:11.5,dionaeifolia:11.1):3.5,(obtusa:1.5,introloga:2.9,novaezelandiae:6.2):6.3):5.9):5.4):19.1):9.4);</t>
  </si>
  <si>
    <t>261_Bell&amp;Patterson_2000_AJB</t>
  </si>
  <si>
    <t>((((((((((((bicolor:2.0,jepsonii:2.0):11.6,parviflorus:13.6):1.3,androsaceus:14.7):1.9,((((pachyphyllus:1.4,melingii:1.4):2.5,floribundus:3.9):0.3,nuttallii:4.2):3.7,laxus:7.6):8.9):2.0,acicularis:18.7):1.1,(septentrionalis:12.3,harknessi:12.3):7.0):0.6,(((filipes:10.5,pusillus:10.5):2.7,((balanderi:0.0,rattanii:0.0):1.0,ambiguas:1.7):11.1):0.4,pygmaeus:13.3):6.9):2.0,(((montanus:11.0,ciliatus:11.0):7.5,((breviculus:7.9,aureus:7.7):8.0,jamaensis:16.2):2.6):2.0,nudatus:20.7):1.6):1.4,((grandiflorus:2.8,lemmonii:2.8):1.4,liniflorus:4.0):19.0):19.2):3.9,(P_gracilis:11.0,(P_stansburyi:5.5,(P_hoodii:1.5,P_diffusa:1.5):4.0):5.4):32.0):3.9,(((((((((jonesi:11.5,(dichotomus:9.2,bigelovii:9.2):2.2):1.1,pareyae:12.0):0.4,(arenicola:10.7,killipii:10.7):1.9):1.5,pungens:13.8):0.6,(caespitosum:7.4,watsonii:7.4):6.6):3.9,((bellus:14.0,orcuttii:14.0):3.3,demissus:17.3):0.8):6.7,((dianthiflorius:14.8,uncialis:14.8):7.6,concinnus:22.4):2.5):3.8,G_maculata:28.2):2.8,G_filiformis:31.0):15.8);</t>
  </si>
  <si>
    <t>264_Davis_etal_2002_SystBot</t>
  </si>
  <si>
    <t>ndhF &amp; ITS</t>
  </si>
  <si>
    <t>((((canadensis:0.00226142,siliquastrum:0.002261420):0.0000000000000002658,occidentalis:0.002261430):0.005087850,(chinensis:0.006323174,gigantea:0.006323):0.001026105):0.003797961,chingii:0.011147241);</t>
  </si>
  <si>
    <t>265_Downie_etal_2004_SystBot</t>
  </si>
  <si>
    <t>((((((((bolanderi:12.0,((bacigalupii:5.0,involucrata:8.8):3.9,erythrorhiza:9.4):1.0):0.3,lemmonii1:9.4):5.5,(parishii:7.5,lemmonii2:4.8):5.5):2.8,(californica:12.7,pringlei:17.4):1.2):4.7,kelloggii:20.9):3.2,howellii:18.0):3.2,(gairdneri:16.3,(leptocarpa:8.5,oregana:11.4):6.5):2.3):0.7,americana:27.2);</t>
  </si>
  <si>
    <t>266_Feng_etal_2005_SystBot</t>
  </si>
  <si>
    <t>trnT-L &amp; ITS, LEAFY</t>
  </si>
  <si>
    <t>((mexicana:16.5,occidentalis:16.7):40.9,(orientalis:30.9,racemosa:27.9):55.7);</t>
  </si>
  <si>
    <t>267_Freeman_etal_2003_SystBot</t>
  </si>
  <si>
    <t>TIM+G</t>
  </si>
  <si>
    <t>(((((K_corymbosa:17.9,K_lemmonii:20.7):2.7,K_ternata:22.7):3.7,K_breviflora:13.0):9.0,(K_cordifolia:8.9,K_antirrhinoides:11.1):5.1):13.0,K_rothrockii:18.1);</t>
  </si>
  <si>
    <t>269_IckertBond&amp;Wojciewchowski_2004_SystBot</t>
  </si>
  <si>
    <t>(((sinica:3.8,intermedia:1.9,(fedtschenkoae:3.8,regeliana:0.0):1.5):6.0,((strobilacea:0.0,(sarcocarpa:0.0,transitoria:3.9):1.7):11.3,distachya:7.6):1.7):24.7,(((pachyclada:0.0,somalensis:1.8):3.4,(monosperma:7.6,saxatilis:7.7):5.8):21.9,(pedunculata:21.0,(((americana:7.6,repsetris:6.0):1.6,(chilensis:4.5,(tweediana:2.8,triandra:3.2):5.5):4.9,(frustillata:0.0,breana:4.0,americana:0.0,(gracilis:3.7,rupestris:0.0,ochreata:0.0,(multiflora:3.8,boelkei:0.0):1.6):3.7):1.7):10.2,(compacta:12.5,(viridis:7.0,((californica:7.5,trifurca:11.5):15.5,((antisyphilitica:0.0,coryi:0.0):3.6,(aspera:0.0,torryeana:0.0,antisyphilitica:0.0,nevadensisi:0.0,cultleri:0.0,fasciculata:5.9,(torreyana:0,funerea:0):7.4):1.6):12.2):5.5):13.3):1.8):6.6):13.8):8.0);</t>
  </si>
  <si>
    <t>270.1_Kita&amp;Kato_2004_SystBot</t>
  </si>
  <si>
    <t>matK &amp; ITS</t>
  </si>
  <si>
    <t>((sp1:19.1,bifoliatum:19.1):22.5,((((micrantherum:28.6,sp2:28.6):4.4,((koribanum:22.2,puncticulatum:22.2):1.6,(floribundum:1.8,japonicum:1.8):22.0):9.0):2.8,griffithi:36.0):2.6,sp3:38.5):3.2);</t>
  </si>
  <si>
    <t>270.2_Kita&amp;Kato_2004_SystBot</t>
  </si>
  <si>
    <t>((((austrsinensis:0.180):0.073,austrosinensis:0.236):0.362,(japonicus:0.0,chinensis:0.0,dolanus:0.0,austrosatsumensis:0.0):0.601):0.612,(taiensis:0.404,nymanii:0.404):0.819);</t>
  </si>
  <si>
    <t>271_Liu_etal_2002_AJB</t>
  </si>
  <si>
    <t>FAD2-1</t>
  </si>
  <si>
    <t>((acmalense:11.0,stockeii:17.3):12.5,(((herbaceum:3.0,arboreum:8.6):3.6,darwinii:5.4,barbadense:3.9,hirsulum:5.9,tomentosum:3.9,mustelinum:2.5):11.3,((australa:5.0,nelsonii:8.0):6.9,((((((londonderreinae:7.2,speciesnovum:8.0,cunninghamii:7.1):2.3,nobile:7.9):0.3,marchantii:5.7):1.0,(populifolium:5.8,costolatum:6.3):3.1):1.0,pulchellum:7.0):4.1,(((enthyle:5.5,exiguum:4.3):1.4,pilosum:8.6):1.7,rotundifolum:3.8):2.6):5.4,(robinsonii:15.0,sturtianum:12.2):0.8):5.6):2.7,(((((raymondii:10.5,((tomatosum:4.2,hirsutum:0.9,(barbadense:1.0,darwinii:2.8):1.1):1.9,mustelinum:6.4):8.8):3.2,hrotrachianum:13.9):3.6,turnori:13.7):2.0,trilobum:15.2):0.4,gossyoioidea:11.5):17.5);</t>
  </si>
  <si>
    <t>272_Lohwasser_etal_2004_SystBot</t>
  </si>
  <si>
    <t>(((pygmaea:7.9,biglovii:16.9,campsetris:6.3,elegans:10.4):49.8,((decipiens:12.1,(acuminata:3.5,douglasii:21.8):11.2):4.2,heterocarpa:1.3):36.4):4.0,((((laciniata:0.0,borealis:0.0,sylvatica:15.3):1.6,(howellii:4.9,nutans:5.5):6.0):4.2,paludosa:15.0):27.9,(lanceolata:0.0,scapigera:0.0):19.7):18.0);</t>
  </si>
  <si>
    <t>274_Roalson_etal_2003_SystBot</t>
  </si>
  <si>
    <t>trnL-F &amp; ITS</t>
  </si>
  <si>
    <t>((((admirabilis:9.3,(cetoana:10.7,longiflora:10.9):3.6):4.9,erecta:5.5):19.6,(((((candida:15.7,grandiflora:17.9):5.5,(antirhina:0.0,pedunculata:2.9):12.5):6.3,((((dileis:4.5,mexicana:5.1):1.4,((flava:5.6,occidentalis:9.9):1.3,hintoniana:3.2):1.3):3.2,patens:4.5):1.3,woodii:5.9):1.5):2.3,majaritensis:23.9):11.7,fubriata:43.6):19.5):2.8,(misera:19.5,glabrata:58.7):2.8);</t>
  </si>
  <si>
    <t>275_Schraschkin&amp;Dolye_2005_SystBot</t>
  </si>
  <si>
    <t>atpB-rbcL, psbA-trnH, trnL-F</t>
  </si>
  <si>
    <t>(inundata:3.5,(angustifolia:10.0,rheophytica:11.3):4.3,(dolichocarpa:1.3,floribunda:45.0,guatemalensis:13.0,macrantha:34.0,pachypetala:1.9,(brevidedicellata:5.9,gigantophylla:18.1):3.2,(panamensis:3.0,(alleni:1.8,crassipetala:1.6):1.7):2.1,(borneensis:3.9,(brachycarpa:3.0,brevipes:1.9):0.9):0.7,(luzonensis:21.2,(javanica:9.0,sylvatica:9.8):1.8):1.5,(phaeocarpa:3.8,prinoides:11.2,(acuminata:0.9,manausensis:0.7,petiolata:5.4):1.8):1.1):9.0);</t>
  </si>
  <si>
    <t>276_Simpson_etal_2004_SystBot</t>
  </si>
  <si>
    <t>2 inset</t>
  </si>
  <si>
    <t>(((((argentea:0.8,(grandiflora:0,spartioides:0):0.9):0.8,ixine:1.8):1.6,tomentosa:3.5):5.1,((((erecta:0,lanceolata:0):0.8,pauciflora:0.5,revoluta:0):0.6,secundiflora:0.7):0.8,ramosissima:1.6):7.3):10.8,((cistoidea:1.0,lappacea:1.0):3.0,(cytisoides:7.0,(grayi:3.0,(paucifolia:0.5,sonorae:1.1):1.1):5.5):3.2):15.2);</t>
  </si>
  <si>
    <t>279_Gaubert&amp;Veron_2003_PRSL</t>
  </si>
  <si>
    <t>cyt b &amp; TR-I-I</t>
  </si>
  <si>
    <t>(N_binotata:25.8,((P_pardicolor:30.0,(Felis:15.4,Panthera:11.3):19.0):3.9,((C_crocuta:33.0,(C_ferox:25.3,H_ichneumon:22.2):6.2):4.9,((C_owstoni:28.7,(P_larvata:8.7,P_hermaphroditus:12.7):14.2):5.4,((C_civetta:14.1,(V_indica:15.1,(V_tangalunga:7.5,(V_zibetha:5.2,V_megaspila:3.7):1.8):8.3):2.6):7.9,(P_richardsonii:9.4,(G_thierryi:11.6,(G_servalina:5.8,((G_piscivora:4.7,G_johnstoni:6.8):1.5,(G_maculata:5.8,G_genetta:4.7):2.4):0.4):2.6):5.3):9.8):0.9):5.0):1.5):4.5);</t>
  </si>
  <si>
    <t>280_Cheviron_etal_2005_Auk</t>
  </si>
  <si>
    <t>(((cunicularia:9.2,tenuirostris:14.3):8.5,peruviana:21.5):15.7,(((antarctica:13.9,(isabellina:10.8,saxicolina:11.9):3.0):1.5,maritima:16.3):10.7,((poecilopterus:19.5,crassirostris:18.9):0.6,(punensis:16.0,rufipennis:9.6):3.2):0.7):13.6);</t>
  </si>
  <si>
    <t>281_Gill_etal_2005_Auk</t>
  </si>
  <si>
    <r>
      <t>Gill, F. B., B. Slikas, and F. H. Sheldon. 2005. Phylogeny of titmice (Paridae): II. Species relationships based on sequences of the mitochondrial cytochrome-</t>
    </r>
    <r>
      <rPr>
        <i/>
        <sz val="10"/>
        <rFont val="Arial"/>
        <family val="2"/>
      </rPr>
      <t xml:space="preserve">B </t>
    </r>
    <r>
      <rPr>
        <sz val="10"/>
        <rFont val="Arial"/>
        <family val="2"/>
      </rPr>
      <t>gene. Auk 122:121-143.</t>
    </r>
  </si>
  <si>
    <t>((((((((((atricapillus:5.8,gambeli:12.0):3.9,sclateri:12.8):0.9,((rufescens:6.3,hudsonicus:4.2):1.1,cinctus:4.5):2.5):1.3,carolinensis:9.0):2.5,((palustris:10.8,montanus:12.1):0.8,davidi:11.3):1.0):2.0,superciliosus:21.1):0.7,varius:16.1):0.7,lugubris:12.4):4.5,((cristatus:7.5,dichrous:11.5):4.7,(wollweberi:10.2,(inornatus:15.1,bicolor:15.1):10.2):4.6):2.7,(((ater:3.6,melanolophus:2.0):9.1,(rubidiventris:16.5,rufonuchalis:16.6):5.0):2.1,(elegans:5.0,amabilis:4.2):6.8):3.7):1.8,(((major:7.4,monticolus:9.4):8.0,((holsti:15.5,(spilonotus:8.6,xanthogenys:7.2):7.0):4.0,afer:17.0):1.2):1.9,(((aliventris:10.5,niger:7.8):5.7,funereus:21.5):2.3,(rufiventris:22.1,fasciiventer:22.1):1.3):1.5):1.5);</t>
  </si>
  <si>
    <t>282_Given_etal_2005_Auk</t>
  </si>
  <si>
    <t>Given, A. D., J. A. Mills, and A. J. Baker. 2005. Molecular evidence for recent radiation in southern hemisphere masked gulls. Auk 122: 268-279.</t>
  </si>
  <si>
    <t>ATPase6, ATPase8, ND2, ND5</t>
  </si>
  <si>
    <t>(((((hartlaubii:2.9,cirrocephalus:2.9):11.0,ridibundus:13.9):5.1,(novaehollandiae:8.8,bulleri:8.8):10.2,serranus:19.0):0.6,maculipennis:19.6):46.0,(philadelphia:59.4,genei:59.4):6.2);</t>
  </si>
  <si>
    <t>285_Johnson_etal_2006_Science</t>
  </si>
  <si>
    <t>Johnson, W. E., E. Eizirik, J. Pecon-Slattery, W. J. Murphy, A. Antunes. E. Teeling, and S. J. O'Brien. 2006.The late Miocene radiation of modern Felidae: a genetic assessment. Science 311:73-77.</t>
  </si>
  <si>
    <t>lots</t>
  </si>
  <si>
    <t>((((((((((((F_catus:2.0,F_silvestris:1.5):1.0,(F_libyca:3.0,F_bieti:1.8):0.8):2.2,F_margarita:6.5):1.3,F_nigripes:4.5):1.0,F_chaus:6.0):5.8,(O_manul:12.9,(P_rubiginosus:6.1,((P_bengalensis:3.5,P_viverrinus:6.1):1.1,P_planiceps:5.0):3.0):2.5):0.6):1.2,((P_concolor:7.2,P_yagouaroundi:6.2):1.0,A_jurbatus:9.8):3.1):1.2,(((L_pardinus:2.1,L_lynx:1.7):0.6,L_canadensis:2.0):2.4,L_rufus:6.8):7.5):1.7,((L_pardalis:4.2,L_weidii:3.1):2.0,((L_jacobita:3.4,L_colocolo:1.4):2.8,((L_geoffroyi:2.0,L_guigna:2.0):0.7,L_tigrinus:2.0):2.7):1.2):11.5):1.4,((C_caracal:3.6,C_aurata:4.2):7.4,C_serval:11.1):5.5):1.9,((P_badia:5.3,P_temminckii:7.0):2.0,P_marmorata:10.1):6.2):3.1,((((P_leo:2.0,P_onca:4.5):0.9,P_pardus:4.1):1.3,(P_tigris:3.6,P_uncia:6.0):1.5):4.2,N_nebulosa:9.6):8.3);</t>
  </si>
  <si>
    <t>286_Lovette&amp;Bermingham_1999_PRSL</t>
  </si>
  <si>
    <t>cyt b, ND2, ATPase 6,8, COI</t>
  </si>
  <si>
    <t>(((((((((D_adelaidae:56.3,(D_discolor:53.2,((D_graciae:14.0,D_nigrescens:14.0):29.6,((D_occidentalis:9.9,D_townsendi:9.9):7.0,D_virens:16.7):26.7):10.3):3.3):33.9,((D_coronata:77.2,(D_dominica:72.3,(D_pinus:51.8,D_pityophila:51.8):20.5):5.0):3.9,D_palmarum:81.0):9.1):4.2,(D_caerulescens:93.2,(((D_castanea:71.0,D_fuscus:71.0):8.4,(D_pensylvanica:47.7,(D_petechia:45.0,D_striata:45.0):3.0):31.5):11.7,D_magnolia:90.9):2.4):1.2):3.8,D_cerulea:97.5):1.6,D_tigrina:99.3):4.1,Setophaga:103.2):9.0,D_plumbea:111.7):1.8,(D_angelae:105.9,Catharopeza:105.9):7.6):1.0,D_pharetra:114.3);</t>
  </si>
  <si>
    <t>287_Mooers_etal_1999_AmNat</t>
  </si>
  <si>
    <t>cyt B</t>
  </si>
  <si>
    <t>((G_japonensis:47.9,(G_americana:27.2,(G_grus:23.4,(G_monachus:13.9,G_nigricollis:13.9):9.5):3.8):20.7):18.8,((G_leucogeranus:50.8,(G_antigone:34.5,(G_vipio:25.5,G_rubicunda:25.5):9.0):16.3):11.7,(G_canadensis:55.4,(B_carunculatus:47.7,(A_paradisea:25.4,A_virgo:25.4):22.3):7.7):7.5):4.2);</t>
  </si>
  <si>
    <t>288_Price_etal_2000_AmNat</t>
  </si>
  <si>
    <t>((P_megrirostris:24.8,(P_trochioides:21.7,P_occipitalis:21.7):3.1):8.7,(P_tytleri:27.6,P_alfinis:27.6):6.0,((P_pulcher:24.7,P_chloronctus:24.7):1.3,P_hunai:26.0):7.4);</t>
  </si>
  <si>
    <t>289_Roukonen_etal_2000_JEB</t>
  </si>
  <si>
    <t>(((pink_footed:0.676,(tundra_bean:0.543,lesser_white_fronted:0.443):0.55):0.952,(Greenland_whitefront:0.554,European_whitefront:0.628):0.896):0.952,(western_greylag:0.394,eastern_greylag:0.587):2.335);</t>
  </si>
  <si>
    <t>291_Thulin_etal_2004_SystBot</t>
  </si>
  <si>
    <t>trnK &amp; ITS</t>
  </si>
  <si>
    <t>((W_danissana:21.1,(W_albescens:17.5,((W_virescens:12.2,W_praecox:12.2):3.0,W_grahamiana:15.2):2.7):3.4):20.9,(((S_stenocarpa:3.8,S_angustifolia:3.8):32.0,((M_daltonii:4.5,M_ellipticum:4.5):23.0,(D_trilobus:20.2,N_holosericea:20.2):7.3):8.3):4.2,((D_lignosus:5.2,L_purpureus:5.2):22.5,(S_kilimandscharicum:18.6,V_pseudolablab:18.6):9.1,((P_venenosum:22.7,((V_luteola:16.0,(V_trichocarpa:6.6,(V_longifolia:4.0,V_lasiocarpa:4.0):2.6):9.4):1.0,(V_monophylla:15.9,(V_friesiorum:13.2,V_unguiculata:13.2,(V_mungo:5.0,V_umbellata:5.0):8.2):2.7):1.1):5.7):3.2,(P_vulgaris:20.3,(R_strobilophora:12.6,O_volubilis:12.6):7.7,((V_ekmaniana:15.5,(V_peduncularis:13.5,V_latidenticulata:13.5):2.0):2.2,(((D_paraguariensis:12.0,S_umbellata:12.0):2.1,(M_uleanus:12.1,M_atropurpureum:12.1):2.0):2.2,((V_linearis:7.4,V_spectabilis:7.4):6.0,(V_gentryi:2.1,V_adenantha:2.1):11.3):2.7):1.7):2.6):5.6):2.0):12.3):1.6);</t>
  </si>
  <si>
    <t>292_vonRintelen_etal_2004_PRSLB</t>
  </si>
  <si>
    <t>COI &amp; 16S</t>
  </si>
  <si>
    <t>(((((((((a:0.081,b:0.05):0.019,(c:0.0,d:0.0):0.038):0.015,e:0.111,f:0.07):0.337,(g:0.047,h:0.11):0.4):0.329,(i:0.245,j:0.22):0.418):0.082,((((((((k:0.07,l:0.065):0.048,m:0.174,n:0.206):0.037,(o:0.111,p:0.081):0.024):0.044,(((q:0.094,r:0.141):0.067,s:0.127):0.013,t:0.261):0.036):0.061,u:0.229):0.141,(v:0.271,w:0.13):0.165):0.077,(x:0.208,y:0.336):0.161):0.314,(z:0.602,a:0.411):0.151):0.146):0.544,a:0.989):0.128,(((((((((((((b:0.08,c:0.242):0.041,d:0.113):0.018,e:0.125):0.041,f:0.103):0.035,g:0.065):0.056,h:0.132):0.072,i:0.148,(j:0.206,k:0.131):0.033):0.118,l:0.388):0.154,m:0.828):0.136,n:0.95):0.276,(o:0.348,(p:0.141,q:0.135):0.239):0.276):0.07,(r:0.0,s:0.0):0.627):0.382,((((((t:0.126,u:0.07):0.038,v:0.101):0.088,((w:0.0,x:0.07):0.07,(y:0.0,z:0.0):0.19):0.048):0.046,((a:0.05,b:0.0,c:0.0):0.188,((((d:0.18,e:0.043):0.016,(f:0.0,g:0.045):0.02):0.02,h:0.0):0.055,(i:0.0,j:0.0):0.21):0.024):0.082):0.221,(((((k:0.0,l:0.0):0.124,m:0.115):0.169,((n:0.096,o:0.036):0.053,p:0.051):0.128):0.239,q:0.288):0.286,r:0.259):0.133):0.182,(s:0.096,(t:0.022,u:0.056):0.04):0.699):0.455):0.112):0.179,((((((v:0.378,w:0.194):0.223,(x:0.27,(y:0.069,z:0.083):0.198):0.069):0.076,a:0.434):0.012,b:0.368):0.318,((c:0.0,d:0.04):0.241,(e:0.084,f:0.128):0.038):0.389):0.623,((((g:0.229,(h:0.049,h:0.0):0.131):0.305,i:0.544):0.044,(j:0.0,k:0.0):0.33):0.563,(l:0.286,m:0.365):0.879):0.209):0.311)</t>
  </si>
  <si>
    <t>293_Wagstaff&amp;Breitwieser_2004_SystBot</t>
  </si>
  <si>
    <t>trnK, matK &amp; ITS</t>
  </si>
  <si>
    <t>((((((((boavitt:0.043,southlandica:0.056,bellidioides:0.051):0.081,(compacta:0.04,greyi:0.04):0.066,(recurva:0.045,sinclairii:0.2):0.089,perdicioides:0.201):0.036,pulvinaris:0.106):0.036,((lineuris:0.0,sulicina:0.0):0.09,brunonis:0.188):0.05,sciadophila:0.28):0.034,(cassinioides:0.112,huntii:0.083):0.082,(arborescens:0.089,repania:0.087):0.042,bacchariodes:0.141,kirkii:0.135):0.0,(claeugnifolia:0.107,scorzoneroides:0.167):0.001):0.045,adamsii:0.083):0.213,((((((S_dunealineasis:0.079,S_quadridentatus:0.062):0.067,S_rufiglandulosus:0.16):0.032,S_glaucophyllus:0.163):0.06,(S_lautus:0.183,S_vulgaris:0.207):0.036):0.036,(S_glomerutus:0.066,S_minimus:0.029):0.148):0.289,S_jacobeca:1.166):0.235);</t>
  </si>
  <si>
    <t>294_Weckstein_2005_Auk</t>
  </si>
  <si>
    <t>cyt b, COI, ND2</t>
  </si>
  <si>
    <t>((((((vitelinus:0.453,brevis:0.395):0.141,vitelinus:0.521):0.73,dicolorus:0.93):0.166,sulfuratus:0.909):0.208,((culverei:0.059,tucanus:0.092):0.554,(swainsoni:0.149,ambiguus:0.219):0.439):0.376):0.464,toco:1.453);</t>
  </si>
  <si>
    <t>296_Wilson_etal_2004_PRSLB</t>
  </si>
  <si>
    <t>(((nassa:5.1,grandis:5.1,littoralis:5.1,nassa:5.1,littoralis:5.1):4.7,smithi:10.0):10.7,(arenarum:12.2,(locardiana:2.4,spinulosa:2.4):5.4):8.6);</t>
  </si>
  <si>
    <t>297_Zhang_etal_2001_AJB</t>
  </si>
  <si>
    <t>ITS,</t>
  </si>
  <si>
    <t>((minima:23.7,(pusilla:20.9,alpina:22.0):1.6):0.6,((((((montana:13.3,angusta:14.9):1.7,((rugosa:12.0,creodoxa:13.0):0.4,marmarostrssiensis:15.1):0.3):0.2,(hungarica:16.8,major:19.7):0.8):1.5,carpatica:24.2):1.8,(chrysostichta:10.0,rhodpsoa:13.2):4.9):1.1,pindicola:22.9):3.5);</t>
  </si>
  <si>
    <t>298_Braun_etal_2005_JMamm</t>
  </si>
  <si>
    <t>((venustus_N:25.9,venustus_S:20.4):8.2,(pusillus:24.0,((elegans_Peru:21.1,elegans_Chile:18.7):3.1,(pallidior_N:8.4,pallidior_S:9.9):7.2):3.1):16.1);</t>
  </si>
  <si>
    <t>300_Schwenk_etal_2000_PRSLB</t>
  </si>
  <si>
    <t>((((men:0.0,gal:0.0):3.9,cuc:4.7):5.5,((ros:0.0,hya:0.0):2.9,den:3.2):3.9):4.8,(lon:9.8,umb:7.3):1.0);</t>
  </si>
  <si>
    <t>301_Goetze_2003_PRSLB</t>
  </si>
  <si>
    <t>((nasutus:18.7,(gigas:17.0,nasutus:25.3):6.7):8.8,(rostrifrons:29.0,cornutus:30.7):10.4);</t>
  </si>
  <si>
    <t>302_MillerButterworth_etal_2005_JMamm</t>
  </si>
  <si>
    <t>Miller-Butterworth, C. M., G. Eick, D. S. Jacobs, M. C. Schoeman, and E. H. Harley. 2005. Genetic and phenotypic differences between south African long-finfered bats, with global minopterine phylogeny. Journal of Mammalogy 86:1121-1135.</t>
  </si>
  <si>
    <t>((schreibersii:7.2,(macrocneme:2.0,australis:2.5):2.0):1.6,((natalensis:2.7,(((fraterculus:3.1,inflatus:3.3):2.0,spp:3.5):1.0,manavi:1.7):2.9):2.6,schreibersii:3.4):5.9);</t>
  </si>
  <si>
    <t>303_Mayer&amp;vonHelversen_2001_PRSLB</t>
  </si>
  <si>
    <t>(((((((a:9.4,b:9.1):10.8,c:21.7):5.2,((d:16.5,e:18.9):5.0,f:22.0):4.5):1.2,g:27.3):1.9,(h:27.1,i:29.6):1.2):0.7,((j:1.9,k:1.2):11.2,l:14.4):17.9):4.8,(((((m:23.5,((n:3.6,o:4.0):13.9,p:16.1):3.5):1.9,(q:20.7,r:17.9):2.3):0.2,((s:23.2,t:20.5):3.0,u:22.8):1.1):0.5,v:25.2):1.7,(w:20.0,x:22.1):4.0):3.8);</t>
  </si>
  <si>
    <t>305_Turgeon_etal_2005_AmNat</t>
  </si>
  <si>
    <t>((Enov:0.144676,((((Ecir:0.005019,(Eris:0.001536,(Edes:0.001536,Ecya:0.001536):0):0.003483):0.009713,((Eanx:0.000865,Ecla:0.000865):0.005087,((((Ebor:0.002063,Ever:0.002063):0,Elat:0.002063):0.000959,((Erec:0,Emin:0):0.003022,(Edav:0.00215,Eebr:0.00215):0.000873):0):0.002929,Ehag:0.005952):0):0.00878):0.027665,Edur:0.042396):0.027871,(((((Eann:0.002411,Edou:0.002411):0,Easp:0.002411):0,Epra:0.002411):0.000682,(Eciv:0.002467,Ecar:0.002467):0.000625):0.002356,Egem:0.005448):0.064819):0.074409):0.032442,((((Eant:0.087174,(Ediv:0.058554,(Epal:0.00132,Etra:0.00132):0.057234):0.02862):0.032757,(Edae:0.119931,(Eexs:0.061173,Ewee:0.061173):0.058758):0):0.034601,Ebas:0.154532):0.015235,(((Econ:0.002203,Edub:0.002203):0,Epic:0.002203):0.02317,((Epol:0.004965,Esig:0.004965):0.016761,(Esul:0.000609,Eves:0.000609):0.021117):0.003647):0.144394):0.007351);</t>
  </si>
  <si>
    <t>306_Stoks&amp;McPeek_2006_AmNat</t>
  </si>
  <si>
    <t>(congener:0.068338,((((disjunctus:0,rectangularis:0):0.009335,unguiculatus:0.009335):0.005216,((dryas:0,stultus:0):0.005664,forcipatus:0.005664):0.008887):0.041255,((eurinus:0.050015,inawualis:0.050015):0.003197,vigilax:0.053211):0.002594):0.012533);</t>
  </si>
  <si>
    <t>307_Baldwin&amp;Sanderson_1998_PNAS</t>
  </si>
  <si>
    <t>(((gymnoxiphium:0.982,(latifolia:0.927,(paleata:0.238,taillardioides:0.238):0.694):0.075):0.359,((((menziesii:0.184,reticulata:0.184):0.165,(arborea:0.191,scabra:0.191,(ciliolata:0.090,ciliolata:0.090):0.101):0.151):0.317,(herbstobatae:0.0,sherffiana:0.0):0.661):0.562,(laevigata:0.566,(imbricata:0.466,(plantaginea:0.125,plantaginea:0.125,plantaginea:0.125,microcephala:0.125):0.342,(laxi:0.225,laxi:0.225,pauciflorula:0.225,(knudsenii:0.086,knudsenii:0.086):0.139):0.237):0.103):0.664):0.141):0.025,(caliginis:0.091,sandwicense:0.091):1.287);</t>
  </si>
  <si>
    <t>308_McKenna&amp;Farrell_2006_PNAS</t>
  </si>
  <si>
    <t>COI * ITS</t>
  </si>
  <si>
    <t>((((((((((((((immaculata:23.7,ornatrix:23.7):4.4,(marginella:23.7,nevermanni:23.7):4.4):1.3,(((alternans:5.3,luctuosa:5.3):12.9,quadrilineata:18.5):6.9,instabilis:25.1):3.2):5.7,bella:35.1):1.6,suaveola:37.1):5.0,((apicata:19.0,stenosoma:19.0):11.4,sp136:30.9):11.0):15.0,((((antennalis:2.2,flava:2.2):7.1,lepida:9.4):18.6,distincta:28.4):5.5,distincta:34.6):23.3):10.0,princeps:68.8):2.4,((((erichsonii:4.7,erichsonii:4.7):9.4,erichsonii:14.1):21.0,erichsonii:35.5):29.3,pulchella:65.4):5.5):0.6,(((fenistrata:17.4,fenistrata:17.4):34.1,(heliconiae:16.7,heliconiae:16.7):34.5):2.3,(championi:49.4,(gratiosa:31.3,((partita:10.0,bifasciata:10.0):8.4,reventazonica:18.4):12.9):17.9):4.3):17.8):2.1,(dilaticollis:29.8,(erichsonii:11.8,mauliki:11.8):18.0):45.2):5.4,(((A_impurum:5.1,A_semnicircularum:5.1):48.0,D_strandi:53.1):15.9,((dilaticollis:32.3,dilaticollis:32.3):8.9,sp089:42.2):27.0):11.0):2.5,(((((((((((discoidalis:3.5,deficiens:3.5):16.4,histrionica:20.3):13.0,histronica:33.3):4.2,trivittaia:37.5):3.0,suturalis:40.5):10.0,(fulvipes:32.0,sp181:32.0):19.1):5.1,((((congener:7.0,sallei:7.0):5.1,pretiosa:12.1):22.3,flavipennis:34.4):17.0,(tertaspilota:4.6,trimaculata:4.6):47.7):4.1):1.4,histro:58.8):5.2,(((((dorsalis:25.3,sp091:25.3):29.4,((((schmidti:4.3,uhmanii:4.3):14.4,tenelia:18.7):30.7,(fulvolimbata:33.4,furicollis:33.4):16.3):3.9,sp083:54.0):0.8):3.7,sp124:58.8):4.0,S_sp:63.2):0.8,(stevensi:24.5,stevensi:24.5):39.5):0.3):7.4,sagittifera:72.2):4.3,lalli:76.9):6.2):4.9,((((aequilata:72.8,(sp113:67.4,((sp114:42.2,cyanea:42.2):12.3,I_thorcicum:54.4):12.6):5.1):3.9,((aequilata:64.0,P_columbica:64.0):8.4,lata:73.0):3.5):3.0,I_rufiventre:79.6):0.9,((D_sp_175:11.1,costaricensis:11.1):61.2,irregularis:63.3):7.9):7.4);</t>
  </si>
  <si>
    <t>309_Berendonk_etal_2003_Evol</t>
  </si>
  <si>
    <t>(((((((astictopus:0.058,punctipennis:0.056):0.016,albatus:0.075):0.020,flavicans:0.12,crystallinus:0.1):0.004,(americanus:0.002,pallidus:0.003):0.088):0.009,obscuripes:0.089):0.019,cooki:0.084):0.05,trivitattus:0.034);</t>
  </si>
  <si>
    <t>Baker_etal_2005_PNAS</t>
  </si>
  <si>
    <t xml:space="preserve"> control region</t>
  </si>
  <si>
    <t>GTR+I+G.</t>
  </si>
  <si>
    <t>((((1:1.119,2:1.119):0.51,(3:1.14,4:1.14):0.475,5:1.6):0.798,((6:1.035,7:1.035):0.36,8:1.38):1.018):1.394,((9:1.28,10:1.28,11:1.28):0.773,12:2.079):1.787);</t>
  </si>
  <si>
    <t>Baum_etal_1998_SystBiol</t>
  </si>
  <si>
    <t>HKY-G</t>
  </si>
  <si>
    <t>(gibbosa:0.72,(digitata:0.654,((grandidieri:0.143,suarezensis:0.143):0.162,rubrostipa:0.288,((madagascariensis:0.105,perrieri:0.112):0.038,za:0.123):0.16):0.371):0.073);</t>
  </si>
  <si>
    <t>Chiba_1999_Evol</t>
  </si>
  <si>
    <t>16S, 12S</t>
  </si>
  <si>
    <t>2:1Ti:Tv</t>
  </si>
  <si>
    <t>((((((((aureola:0.121,polita:0.149):0.078,hahajimana:0.494):0.385,(exoptata:0.706,conus:0.499,ponderosa:0.448):0.116):0.1,hahajimana:0.978):0.218,(chichijimana:0.219,mandarina:0.188):1.638):0.073,(trifasciata:1.504,hirasei:1.786):0.081):0.345,suenoae:1.886):0.326,anijimana:2.772);</t>
  </si>
  <si>
    <t>Comes&amp;Abbott_2001_Evol</t>
  </si>
  <si>
    <t>TrNef+G</t>
  </si>
  <si>
    <t>((((((((glaucus:0.0,hesperidium:0.0):0.067,rupesris:0.076,petraeus:0.0,rodriguezii:0.061,squalidus:0.069,(gallicus:0.238,chrysanthomerifolius:0.044):0.027,squalidus:0.013,leucanthermifolis:0.0):0.068,(rupestris:0.11,(glaucus:0.136,flavus:0.222):0.108):0.023):0.069,aethnenis:0.0):0.397,(vernalis:0.344,(vulgaris:0.432,rupestris:0.178):0.084):0.336):0.064,((viscosus:0.21,nebrodensis:0.218):0.119,(tividus:0.085,sylvaticus:0.14):0.024):0.077):0.406,flavus:3.734):0.446,aegyptius:0.29);</t>
  </si>
  <si>
    <t>Donald_etal_2005_Evol</t>
  </si>
  <si>
    <t>((((((((D_arida:0.578,D_coracina:0.693):0.145,D_zelandica:0.365):0.038,(D_nigerrima:0,D_crusoeana:0):0.310):0.052,D_bicanaliculata:0.391):0.042,((D_subrostrata:0.201,M_aethiops:0.200):0.461,A_concamerata:0.461):0.052):0.152,(D_samoaensis:0.230,D_radula:0.405):0.230):0.460,((((A_rudis:0.037,A_constricta:0):0.067,A_porcata:0.088):0.261,A_brevis:0.208):0.650,A_diminuta:1.567):0.619):0.618,((A_odontis:0.090,A_crinita:0.028):0.372,A_adelaidae:0.295):0.983);</t>
  </si>
  <si>
    <t>Douady_etal_2003_PNAS</t>
  </si>
  <si>
    <t>12S, valine tRNA, 16S rRNA, vWF IRB</t>
  </si>
  <si>
    <t>mtDNA and nuDNA</t>
  </si>
  <si>
    <t>F84+G8</t>
  </si>
  <si>
    <t>((myurus:0.637,edwardii:0.637):0.548,(intufi:0.804,rufescens:0.804):0.414);</t>
  </si>
  <si>
    <t>Drovetski_2002_SystBiol</t>
  </si>
  <si>
    <t>AG3I3, ASWI2,WPG, Control region</t>
  </si>
  <si>
    <t>GTR+G+I</t>
  </si>
  <si>
    <t>((umbellus:1.828,(bonasia:0.389,sewerzowi:0.456):0.947):0.179,((((urophasianus:0.237,minimus:0.306):0.526,((obscurus:0.205,fuliginosus:0.207):0.275,((cupido:0.0,(attwateri:0.0,pallidicinctus:0.109):0.065):0.058,phasianellus:0.104):0.728):0.19):0.281,(leucurus:0.459,(lagopus:0.529,mutus:0.44):0.358):0.234):0.069,(((canadensis:0.134,franklinii:0.209):0.555,falcipennis:0.678):0.176,((tetrix:0.316,mlolosiewiczi:0.202):0.215,(parvirostris:0.186,urogallus:0.39):0.193):0.326):0.113):0.386);</t>
  </si>
  <si>
    <t>Johns&amp;Avise_1998_Evol</t>
  </si>
  <si>
    <t>2A</t>
  </si>
  <si>
    <t>cytb</t>
  </si>
  <si>
    <t>HKY2nTi:TV</t>
  </si>
  <si>
    <t>(((((((chrysomelas:0.312,caurinis:0.312):0.034,atrovirens:0.344):0.247,rastrelliger:0.576):0.266,(saxicola:0.645,semicinctus:0.645):0.221):0.471,(((((mystinus:0.21,entomelas:0.21):0.552,((melanops:0.19,flavidus:0.19):0.082,serranoides:0.255):0.511):0.26,(((rosaceus:0.236,constellatus:0.236):0.162,(helvomaculatus:0.288,ensifer:0.288,chlorostichtus:0.288):0.101):0.275,(ruricinctus:0.53,rufus:0.53):0.118):0.37,((diploproa:0.603,elongatus:0.603):0.218,((melanostomus:0.703,crameri:0.703):0.081,miniatus:0.778):0.142):0.118,levis:1.007):0.139,ruberrimus:1.123):0.055,maurinus:1.17):0.146):0.166,goodei:1.455):0.409,paucispinis:1.865);</t>
  </si>
  <si>
    <t>Joy&amp;Conn_2001_SystBiol</t>
  </si>
  <si>
    <t>COI, 12S</t>
  </si>
  <si>
    <t>(((((((cataractarum:0.976,jnabsium:0.843):0.951,((concludium:1.69,neoviceps:0.726):0.097,(oviceps:2.126,dussertorum:1.756):0.387):0.097):0.263,((connae:1.008,(((((dojyecorium:0.724,fossatiae:0.625):0.451,tahitiense:1.062):0.176,lotii:1.178):0.159,exasperans:1.004):0.305,shannonae:1.123):0.262):0.192,maraaense:1.626):0.211):0.09,lonckei:1.331):0.253,(mesodontium:1.53,middlemissae:0.841):0.228):0.444,clibanarium:1.82):0.501,malardei:2.053);</t>
  </si>
  <si>
    <t>Kimball_etal_2003_Evol</t>
  </si>
  <si>
    <t>((((arizonicus:0.087,(sonoranus:0.038,sanpedroensis:0.049,parthenioides:0.049):0.059):0.054,sonoranus:0.122):0.051,dissectus:0.302):0.555,insularis:0.626);</t>
  </si>
  <si>
    <t>Moller&amp;Cronk_2001_Evol</t>
  </si>
  <si>
    <t>(((nobilis:0.836,((kamerunensis:0.513,elongatus:1.694):0.919,(thysanotus:0.065,kimbozanus:0.041):0.795):0.106):0.016,((((bea_ant:0.538,bea_bea:0.841):0.058,(andohahelensis:0.542,sp:0.045):0.029):0.116,((tanala:0.192,hilsenbergii:0.336):0.346,(thomsonii:0.075,sp:0.0):0.066):0.559):0.82,((saxorun:0.225,(strmandrus:0.025,kirkii:0.074):0.070):0.326,((teitensis:0.16,(ionantha:0.041,(brevipilosa:0.038,nitida:0.079):0.079):0.329):0.423,(pallidiflorus:0.063,(holstii:0.0,glandulosissimus:0.056):0.02,(buchananii:0.086,caulescens:0.034):0.023):0.261):0.084):0.195):0.073):0.208,((itityensis:0.216,macropodus:0.114,itremensis:0.24,papangae:0.444):0.098,(exserius:0.43,(burundianus:0.61,(hildebrandtii:0.349,perreiri:0.82):0.176):0.032,((schliebenii:0.369,(alba:0.0,sp:0.0,bullatus:0.03):0.083):0.344,(nimbicola:0.144,hirticapsa:0.327,((hirtinervis:0.175,(milanjianus:0.155,dolocanthus:0.057):0.023):0.332,((decipiens:0.446,galpinii:0.404):0.072,(((fanniniae:0.191,pulillus:0.04,davyi:0.1):0.165,(((pole_evansii:0.104,dunnii:0.07):0.089,(erubescens:0.149,(cyanandrus:0.0,pumilus:0.0):0.071):0.089):0.06,((grandis:0.057,wittei:0.0,cooperi:0.0):0.141,(eylesii:0.032,goetzei:0.032,compressus:0.108,solenanthus:0.061,(kungwensis:0.022,bindseilii:0.0):0.032):0.036):0.079):0.268):0.044,(bolusii:0.288,(porphyrostachys:0.193,(haygarthii:0.126,candidus:0.177,(((confusus:0.052,wnedlandii:0.139):0.032,(trabeculatus:0.219,(molweniensis:0.117,((silvaticus:0.051,pentherianus:0.078):0.040,(poly:0.046,prolixus:0.101):0.078):0.024):0.035):0.023):0.023,(kentaniensis:0.0,(cyaneus:0.055,meyeri:0.0,fasciatus:0.0,montigena:0.085):0.031,(bauderii:0.0,rexii:0.058,primulifolius:0.0,(johannis:0.042,modestus:0.069,prim:0.0):0.033):0.028):0.03):0.109):0.038):0.051):0.088):0.095):0.033):0.023):0.024):0.033):0.04):0.084);</t>
  </si>
  <si>
    <t>Near&amp;Benard_2004_Evol</t>
  </si>
  <si>
    <t>cytb, ND2</t>
  </si>
  <si>
    <t>GTR+I+G+penalizedlikelihood</t>
  </si>
  <si>
    <t>(rex:4.695,(jenkinsi:3.332,(burtoni:2.294,(carbonaria:1.176,((macrolepida:0.761,(suttkusi:0.639,caprodes:0.644):0.134):0.132,(nebulosa:0.823,(austroperca:0.483,kathae:0.481):0.338):0.082):0.273):1.121):1.039):1.356);</t>
  </si>
  <si>
    <t>Parker&amp;Rissing_2002_Evol</t>
  </si>
  <si>
    <t>((((((((((((anergismus:0.224,colei:0.186):0.133,barbatus1:0.189):0.326,(apache:0.251,desertorum:0.243):0.131):0.024,(rugosus1:0.236,barbatus2:0.125):0.335):0.156,rugosus2:0.656):0.151,tenuispina:1.123):0.450,((occidentalis:0.270,salinus:0.287):0.572,subnitidus:0.845):0.822):0.089,bicolor:1.222):0.140,((californicus:0.323,maricopa:1.059):0.217,magnacanthus:1.076):0.354):0.467,anzensis:1.266):0.930,huachucanus:2.200):0.700,imberbiculus:4.015);</t>
  </si>
  <si>
    <t>Quek_etal_2004_Evol</t>
  </si>
  <si>
    <t>(((((((((h:0.236,j:0.176):0.031,k:0.272):0.118,g:0.488):0.061,f:0.243):0.154,c:0.427):0.048,d:0.383):0.07,e:0.292):0.329,b:0.303):0.252,a:0.635);</t>
  </si>
  <si>
    <t>Ruber_etal_1999_PNAS</t>
  </si>
  <si>
    <t>cyt, and control</t>
  </si>
  <si>
    <t>unk</t>
  </si>
  <si>
    <t>(A:1.828,(B:1.256,(C:1.271,(D:0.828,(E:1.23,F:1.174):0.072):0.067):0.178):0.091);</t>
  </si>
  <si>
    <t>Sato_etal_1999_PNAS</t>
  </si>
  <si>
    <t>Tamura-Nei</t>
  </si>
  <si>
    <t>((((((magnirostris:0.19,difficilis:0.361,scandens:0.332):0.078,(conirostris:0.332,fortis:0.332):0.09):0.111,fuliginosa:0.852):0.646,(inornata:2.055,((pallida:0.696,psittacula:0.286):0.225,(pauper:0.656,parvulus:0.548):0.203):0.123):0.182):0.692,crassirostris:3.022):1.201,olivacea:3.016);</t>
  </si>
  <si>
    <t>Steppan_etal_1999_Evol</t>
  </si>
  <si>
    <t>(((((sibirica:1.144,himalayana:1.284):0.337,camtschatica:1.805):0.482,(bobak:1.151,baicacina:1.32):0.394):0.255,(((caudata:0.921,menzbieri:1.328):0.734,broweri:2.203):0.23,marmota:2.129):0.1,monax:2.213):0.561,(((callgata:0.219,vancouverensis:0.23):0.753,olympus:1.521):0.213,flaviventris:1.147):1.048);</t>
  </si>
  <si>
    <t>Williams&amp;Reid_2004_Evol</t>
  </si>
  <si>
    <t>12s, CO1, 28s</t>
  </si>
  <si>
    <t>(((lineolata:3.285,peroviasa:3.285):0.67,((sarteianae:2.257,((parcisida:0.063,luscolineata:0.063):1.541,(albicannata:1.404,(purcata:0.694,atrata:0.694):0.715):0.18):0.652):1.505,(punctata:3.461,(((angustor:2.019,peniciliata:2.019):0.331,(interrupta:1.996,(aspera:0.17,(dubiosa:0.119,tenuistrate:0.119):0.055):1.805):0.352):0.486,((rosei:1.521,(apicina:0.066,paydentus:0.066):1.445):1.014,((conspersa:0.717,modesta:0.717):0.892,ziczac:1.615):0.907):0.302):0.64):0.282):0.204):0.347,((galapageiensis:3.335,((vernega:1.802,tuberculata:1.802):0.945,(graeosa:1.29,(terleriae:0.344,trilans:0.344):0.946):1.451):0.584):0.746,((melearis:0.595,mespilium:0.595):3.069,((radiata:2.496,antica:2.496):0.193,(((paccua:1.878,(satalensis:0.968,subrodiosa:0.968):0.914):0.55,(sundaica:2.329,trochvoidea:2.329):0.105):0.137,((quadricincta:1.437,((quadricincta:0.605,leucosticta:0.605):0.56,(australis:0.97,quadricincta:0.97):0.208):0.257):0.619,((teejeensis:0.568,melanacme:0.568):0.706,((novezelandiae:0.604,indua:0.604):0.528,(cenerea:0.655,(hawaiiensis:0.566,(millegrana:0.049,robusticulata:0.049):0.518):0.1):0.469):0.142):0.78):0.523):0.115):0.965):0.419):0.23);</t>
  </si>
  <si>
    <t>Xiang_etal_2005_Evol</t>
  </si>
  <si>
    <t>((((((kousa:0.390,capitata:0.084):0.444,disciflora:0.577):0.069,florida:0.185):1.472,canadensis:2.313):0.403,((walteri:0.600,controversa:0.735):0.535,oblonga:0.964):0.159):0.178,((volkensii:0.365,(((mas:0.458,officinalis:0.162):0.126,eydeana:0.498):0.238,chinensis:0.261):0.188):0.105,sessilis:0.321):0.819);</t>
  </si>
  <si>
    <t>HKY+G+I</t>
  </si>
  <si>
    <t>K3STf+G+Iwithmol.Clock</t>
  </si>
  <si>
    <t>4categories(3sites+tRNA</t>
  </si>
  <si>
    <t>Number of Species</t>
  </si>
  <si>
    <t>Total Tree Length (MY)</t>
  </si>
  <si>
    <t>l</t>
  </si>
  <si>
    <t>External Branch Length CV</t>
  </si>
  <si>
    <t>.</t>
  </si>
  <si>
    <t>Glor_etal_2003_Evol</t>
  </si>
  <si>
    <r>
      <t xml:space="preserve">Pybus &amp; Harvey's </t>
    </r>
    <r>
      <rPr>
        <b/>
        <i/>
        <sz val="10"/>
        <rFont val="Symbol"/>
        <family val="1"/>
      </rPr>
      <t>g</t>
    </r>
  </si>
  <si>
    <r>
      <t xml:space="preserve">Variance in </t>
    </r>
    <r>
      <rPr>
        <b/>
        <i/>
        <sz val="10"/>
        <rFont val="Symbol"/>
        <family val="1"/>
      </rPr>
      <t>l</t>
    </r>
  </si>
  <si>
    <r>
      <t xml:space="preserve">cytochrome </t>
    </r>
    <r>
      <rPr>
        <i/>
        <sz val="10"/>
        <rFont val="Arial"/>
        <family val="2"/>
      </rPr>
      <t>b</t>
    </r>
    <r>
      <rPr>
        <sz val="10"/>
        <color indexed="8"/>
        <rFont val="Arial"/>
        <family val="2"/>
      </rPr>
      <t>, 12S rRNA, 16S rRNA, ND4-tRNA</t>
    </r>
    <r>
      <rPr>
        <vertAlign val="superscript"/>
        <sz val="10"/>
        <rFont val="Arial"/>
        <family val="2"/>
      </rPr>
      <t>LEU</t>
    </r>
    <r>
      <rPr>
        <sz val="10"/>
        <color indexed="8"/>
        <rFont val="Arial"/>
        <family val="2"/>
      </rPr>
      <t>, and the control region</t>
    </r>
  </si>
  <si>
    <t>007_Filardi&amp;Smith_2005_MPE</t>
  </si>
  <si>
    <t>F84+G</t>
  </si>
  <si>
    <t>Atrhropoda</t>
  </si>
  <si>
    <t>Baker, A. J., L. J. Huynen, O. Haddrath, C. D. Millar, and D. M. Lambert.  2005. Reconstructing the tempo and mode of evolution
in an extinct clade of birds with ancient DNA:
The giant moas of New Zealand.  Proceedings of the National Academy of Science, USA 102:8257–8262.</t>
  </si>
  <si>
    <t>Mayer, F. and O. von Helversen. 2001. Cryptic diversity in European bats. Proc. Roy. Soc. Lond., B 268:1825-1832.</t>
  </si>
  <si>
    <t>Goetze, E. Cryptic speciation on the high seas; global phylogenetics of the copepod family Euclanidae. Proc. Roy. Soc. Lond., B 270:2321-2331.</t>
  </si>
  <si>
    <t>Gaubert, P. and G. Vernon. 2003. Exhaustive sample set among Viverridae reveals the sister-group of felids: the linsangs as a case of extreme morphological convergence within Feliformia. Proc. Roy. Soc. Lond., B 270:2523-2530.</t>
  </si>
  <si>
    <t>Von Rintelen, T., A. B. Wilson, A. Meyer, and M. Glaubrecht. 2004. Escalation and trophic specialization drive adaptive radiation of freshwater gastropods in ancient lakes on Sulawesi, Indonesia.  Proc. Roy. Soc. Lond., B 271:2541-2549.</t>
  </si>
  <si>
    <t>Ruolonen, M., L. Kvist, and J. Lumme. 2000. Close relatedness between mitochondrial DNA from seven Anser good species.  J. Evol. Biol. 13:532-540.</t>
  </si>
  <si>
    <t>Weckstein, J. D.  2005. Molecular phylogenetics of the Ramphastos toucans: Implications for the evolution of morphology, vocalizations, and coloration. Auk 122:1191-1209.</t>
  </si>
  <si>
    <t>Silva-Brandão, A. V. L. Freitas, A. V. Z. Brower, and V. N. Solferini. 2005. Phylogenetic relationships of the New World Triodini swallowtails (Lepidoptera: Papilionidae) based on COI, COII and EF-1a genes. Mol. Phylo. Evol. 36:468-483.</t>
  </si>
  <si>
    <t>Takacs, Z., J. C. Morales, T. Geissmann, and D. J. Melnick. 2005. A complete species-level phylogeny of the Hylobatidae based on mitochondrial ND3-ND4 gene sequences. Mol. Phylo. Evol. 36:456-467.</t>
  </si>
  <si>
    <t>Stenson, A. G., R. S. Thorpe, and A. Malhotra. 2004. Evolutionary differentiation of maculatus group anoles based on analyses of mtDNA and microsatellite data. Mol. Phylo. Evol. 32:1-10.</t>
  </si>
  <si>
    <t>Yu, L., Q.-w. Li, O. A. Ryder, and Y.-p. Zhang. 2004. Phylogeny of the bears (Ursidae) based on nuclear and mitochondrial genes. Mol. Phylo. Evol. 32:480-494.</t>
  </si>
  <si>
    <t>Garcia-Moreno, J., J. Ohlson, J. Fjedsas. 2001. MtDNA sequences support monophyly of Hemispingus Tanagers. Mol. Phylo. Evol. 21:424-435.</t>
  </si>
  <si>
    <t>Lucchini, V., J. Hoglund, S. Klaus, J. Swenson, and E. Randi.  2001. Historical biogeography and a mitochondrial DNA phylogeny of Grouse and Ptarmigan.  Mol. Phylo. Evol. 20:149-162.</t>
  </si>
  <si>
    <t>Sumida, M., M. Ogata, and M. Nishioka. 2000. Molecular phylogenetic relationships of pond frogs distributed in the Palearctic region inferred from DNA sequences of mitochondrial 12S ribosomal RNA and cytochrom b genes.  Mol. Phylo. Evol. 16:278-285.</t>
  </si>
  <si>
    <t>Tougard, C., T. Delefosse, C. Hanni, and C. Montgelard. 2001. Phylogentic relationships of the five extant rhinoceros species (Rinocerotidae, Perissodactyla) based on mitochondrial cytochrome b and 12S rRNA genes. Mol. Phylo. Evol. 19:34-44.</t>
  </si>
  <si>
    <t>Vences, M., Y. Chiari, L. Raharivololoniaina, and A. Meyer. 2004. High mitochondrial diversity within and among populations of Malagasy poison frogs. Mol. Phylo. Evol. 30:295-307.</t>
  </si>
  <si>
    <r>
      <t xml:space="preserve">van der Kuyl, A. C., D. L. Ph. Ballasina, J. T. Dekker, J. Maas, R. E. Willemsen, and J. Goudsmit. 2002. Phylogenetic relationships among the species of the genus </t>
    </r>
    <r>
      <rPr>
        <i/>
        <sz val="10"/>
        <rFont val="Arial"/>
        <family val="2"/>
      </rPr>
      <t>Testudo</t>
    </r>
    <r>
      <rPr>
        <sz val="10"/>
        <rFont val="Arial"/>
        <family val="2"/>
      </rPr>
      <t xml:space="preserve"> (Testudines: Testudinidae) inferred from mitochondrial 12S rRNA gene sequences. Mol. Phylo. Evol. 22:174-183.</t>
    </r>
  </si>
  <si>
    <r>
      <t xml:space="preserve">Tang, B., K. Zhou, D. Song, G. Yang, and A. Dai. 2003. Molecular systematics of the Asian mitten crabs, genus </t>
    </r>
    <r>
      <rPr>
        <i/>
        <sz val="10"/>
        <rFont val="Arial"/>
        <family val="2"/>
      </rPr>
      <t>Eriocheir</t>
    </r>
    <r>
      <rPr>
        <sz val="10"/>
        <rFont val="Arial"/>
        <family val="2"/>
      </rPr>
      <t xml:space="preserve"> (Crustacea: Brachyura). Mol. Phylo. Evol. 29:309-316.</t>
    </r>
  </si>
  <si>
    <r>
      <t xml:space="preserve">Symula, R., R. Schulte, and K. Summers. 2003. Molecular systematics and phylogeography of Amazonian poison frogs of the genus </t>
    </r>
    <r>
      <rPr>
        <i/>
        <sz val="10"/>
        <rFont val="Arial"/>
        <family val="2"/>
      </rPr>
      <t>Dendrobates.</t>
    </r>
    <r>
      <rPr>
        <sz val="10"/>
        <rFont val="Arial"/>
        <family val="2"/>
      </rPr>
      <t xml:space="preserve"> Mol. Phylo. Evol. 26:452-475.</t>
    </r>
  </si>
  <si>
    <r>
      <t xml:space="preserve">Su, B., Y. -X. Wang, H. Lan, W. Wang, and Y. Zhang. 1999. Phylogenetic study of complete cytochrome b genes in musk deer (genus </t>
    </r>
    <r>
      <rPr>
        <i/>
        <sz val="10"/>
        <rFont val="Arial"/>
        <family val="2"/>
      </rPr>
      <t>Moschus</t>
    </r>
    <r>
      <rPr>
        <sz val="10"/>
        <rFont val="Arial"/>
        <family val="2"/>
      </rPr>
      <t>) using museum samples. Mol. Phylo. Evol. 12:241-249.</t>
    </r>
  </si>
  <si>
    <r>
      <t xml:space="preserve">Strecker, U., C. G. Meyer, C. Sturmbauer, and H. Wilkens. 1996. Genetic divergence and speciation in an extremely young species flock in Mexico formed by the genus </t>
    </r>
    <r>
      <rPr>
        <i/>
        <sz val="10"/>
        <rFont val="Arial"/>
        <family val="2"/>
      </rPr>
      <t>Cyprinodon</t>
    </r>
    <r>
      <rPr>
        <sz val="10"/>
        <rFont val="Arial"/>
        <family val="2"/>
      </rPr>
      <t xml:space="preserve"> (Cyprinodontidae, Teleostei). Mol. Phylo. Evol. 6:143-149.</t>
    </r>
  </si>
  <si>
    <r>
      <t xml:space="preserve">Pinho, C., N. Ferrand, and D. J. Harris. 2006. Reexamination of the Iberian and North African </t>
    </r>
    <r>
      <rPr>
        <i/>
        <sz val="10"/>
        <rFont val="Arial"/>
        <family val="2"/>
      </rPr>
      <t>Podarcis</t>
    </r>
    <r>
      <rPr>
        <sz val="10"/>
        <rFont val="Arial"/>
        <family val="2"/>
      </rPr>
      <t xml:space="preserve"> (Squamata: Lacertidae) phylogeny based on increased mitochondrial DNA sequencing. Mol. Phylo. Evol. 38:266-273.</t>
    </r>
  </si>
  <si>
    <r>
      <t xml:space="preserve">Filardi, C. E., and C. E. Smith. 2005. Molecular phylogenetics of monarch flycatchers (genus </t>
    </r>
    <r>
      <rPr>
        <i/>
        <sz val="10"/>
        <rFont val="Arial"/>
        <family val="2"/>
      </rPr>
      <t>Monarcha</t>
    </r>
    <r>
      <rPr>
        <sz val="10"/>
        <rFont val="Arial"/>
        <family val="2"/>
      </rPr>
      <t>) with emphasis on Solomon Island endemics Mol. Phylo. Evol. 37:776-788.</t>
    </r>
  </si>
  <si>
    <r>
      <t xml:space="preserve">Poulakakis, N., P. Lymberakis, E. Valakos, E. Zouros, and M. Mylonas. 2005. Phylogenetic relationships and biogeography of </t>
    </r>
    <r>
      <rPr>
        <i/>
        <sz val="10"/>
        <rFont val="Arial"/>
        <family val="2"/>
      </rPr>
      <t>Podarcis</t>
    </r>
    <r>
      <rPr>
        <sz val="10"/>
        <rFont val="Arial"/>
        <family val="2"/>
      </rPr>
      <t xml:space="preserve"> species from the Balkan Peninsula, by bayesian and maximum likelihood analyses of mitochondrial DNA sequences. Mol. Phylo. Evol. 37:845-857.</t>
    </r>
  </si>
  <si>
    <r>
      <t xml:space="preserve">Lecompte, E., C. Denys and L. Granjon. 2005. Confrontation of morphological and molecular data: The </t>
    </r>
    <r>
      <rPr>
        <i/>
        <sz val="10"/>
        <rFont val="Arial"/>
        <family val="2"/>
      </rPr>
      <t>Praomys</t>
    </r>
    <r>
      <rPr>
        <sz val="10"/>
        <rFont val="Arial"/>
        <family val="2"/>
      </rPr>
      <t xml:space="preserve"> group (Rodentia, Murinae) as a case of adaptive convergences and morphological stasis. Mol. Phylo. Evol. 37:899-919.</t>
    </r>
  </si>
  <si>
    <r>
      <t xml:space="preserve">Doadrio, I., and A. Perdices. 2005. Phylogenetic relationships among the Ibero-African cobitids </t>
    </r>
    <r>
      <rPr>
        <i/>
        <sz val="10"/>
        <rFont val="Arial"/>
        <family val="2"/>
      </rPr>
      <t>(Cobitis,</t>
    </r>
    <r>
      <rPr>
        <sz val="10"/>
        <rFont val="Arial"/>
        <family val="2"/>
      </rPr>
      <t xml:space="preserve"> Cobitidae) based on cytochrome</t>
    </r>
    <r>
      <rPr>
        <i/>
        <sz val="10"/>
        <rFont val="Arial"/>
        <family val="2"/>
      </rPr>
      <t xml:space="preserve"> b</t>
    </r>
    <r>
      <rPr>
        <sz val="10"/>
        <rFont val="Arial"/>
        <family val="2"/>
      </rPr>
      <t xml:space="preserve"> sequence data. Mol. Phylo. Evol. 37:484-493.</t>
    </r>
  </si>
  <si>
    <r>
      <t>Pérez-Emán, J. L. 2005. Molecular phylogenetics and biogeography of the Neotropical redstarts (</t>
    </r>
    <r>
      <rPr>
        <i/>
        <sz val="10"/>
        <rFont val="Arial"/>
        <family val="2"/>
      </rPr>
      <t>Myioborus</t>
    </r>
    <r>
      <rPr>
        <sz val="10"/>
        <rFont val="Arial"/>
        <family val="2"/>
      </rPr>
      <t>: Aves, Parulidae). Mol Phylo. Evol. 37:511-528.</t>
    </r>
  </si>
  <si>
    <r>
      <t xml:space="preserve">Skinner, A., S. C. Donnellan, M. N. Hutchinson, and R. G. Hutchinson. 2005. A phylogenetic analysis of </t>
    </r>
    <r>
      <rPr>
        <i/>
        <sz val="10"/>
        <rFont val="Arial"/>
        <family val="2"/>
      </rPr>
      <t>Pseudonaja</t>
    </r>
    <r>
      <rPr>
        <sz val="10"/>
        <rFont val="Arial"/>
        <family val="2"/>
      </rPr>
      <t xml:space="preserve"> (Hydrophiinae, Elaphidae, Serpentes) based on mitochondrial DNA sequences. Mol. Phylo. Evol. 37:558-571.</t>
    </r>
  </si>
  <si>
    <r>
      <t xml:space="preserve">Wu, C., J. Wu, T. D. Bunch, Q. Li, Y. Wang, Y. Zhang. 2005. Molecular phylogenetics and biogeography of </t>
    </r>
    <r>
      <rPr>
        <i/>
        <sz val="10"/>
        <rFont val="Arial"/>
        <family val="2"/>
      </rPr>
      <t>Lepus</t>
    </r>
    <r>
      <rPr>
        <sz val="10"/>
        <rFont val="Arial"/>
        <family val="2"/>
      </rPr>
      <t xml:space="preserve"> in Eastern Asia based on mitochondrial DNA sequences. Mol. Phylo. Evol. 37:45-61.</t>
    </r>
  </si>
  <si>
    <r>
      <t xml:space="preserve">Bonacum, J., P. M. O'Grady, M. Kambysellis, and R. DeSalle. 2005. Phylogeny and age of diversification of the </t>
    </r>
    <r>
      <rPr>
        <i/>
        <sz val="10"/>
        <rFont val="Arial"/>
        <family val="2"/>
      </rPr>
      <t>Planitibia</t>
    </r>
    <r>
      <rPr>
        <sz val="10"/>
        <rFont val="Arial"/>
        <family val="2"/>
      </rPr>
      <t xml:space="preserve"> species group of the Hawaiian Drosophila. Mol. Phylo. Evol. 37:73-82.</t>
    </r>
  </si>
  <si>
    <r>
      <t xml:space="preserve">McKenna, D. D., and B. D. Farrell. 2005. Molecular phylogenetics and evolution of host plant use in the Neotropical rolled leaf 'hispine' beetle genus </t>
    </r>
    <r>
      <rPr>
        <i/>
        <sz val="10"/>
        <rFont val="Arial"/>
        <family val="2"/>
      </rPr>
      <t>Cephaloleia</t>
    </r>
    <r>
      <rPr>
        <sz val="10"/>
        <rFont val="Arial"/>
        <family val="2"/>
      </rPr>
      <t xml:space="preserve"> (Chevrolat) (Chrysomelidae: Caddidinae). Mol. Phylo. Evol. 37:117-131.</t>
    </r>
  </si>
  <si>
    <r>
      <t xml:space="preserve">Van Riel, P., K. Jordaens, N. Van Houtte, A. M. F. Martins, R. Verhagen, and T. Backeljau. 2005. Molecular systematics of the endemic </t>
    </r>
    <r>
      <rPr>
        <i/>
        <sz val="10"/>
        <rFont val="Arial"/>
        <family val="2"/>
      </rPr>
      <t>Leptxini</t>
    </r>
    <r>
      <rPr>
        <sz val="10"/>
        <rFont val="Arial"/>
        <family val="2"/>
      </rPr>
      <t xml:space="preserve"> (Gastropoda: Pulmonata) on the Azores islands. Mol. Phylo. Evol. 37:132-143.</t>
    </r>
  </si>
  <si>
    <r>
      <t xml:space="preserve">Allegrucci, G., V. Todisco, and V. Sbordoni. 2005. Moleulcar phylogeography of </t>
    </r>
    <r>
      <rPr>
        <i/>
        <sz val="10"/>
        <rFont val="Arial"/>
        <family val="2"/>
      </rPr>
      <t>Dolichopoda</t>
    </r>
    <r>
      <rPr>
        <sz val="10"/>
        <rFont val="Arial"/>
        <family val="2"/>
      </rPr>
      <t xml:space="preserve"> cave crickets (Orthoptera, Rhaphidophoridae): A scenario suggested by mitochondrial DNA. Mol. PHylo. Evol. 37:153-164.</t>
    </r>
  </si>
  <si>
    <r>
      <t xml:space="preserve">Shull, H. C., M. Pérez-Losada, D. Blair, K. Sewell, E. A. Sinclair, S. Lawler, M. Ponniah, and K. A. Crandall. 2005. Phylogeny and biogeography of the freshwater crayfishy </t>
    </r>
    <r>
      <rPr>
        <i/>
        <sz val="10"/>
        <rFont val="Arial"/>
        <family val="2"/>
      </rPr>
      <t>Euastacus</t>
    </r>
    <r>
      <rPr>
        <sz val="10"/>
        <rFont val="Arial"/>
        <family val="2"/>
      </rPr>
      <t xml:space="preserve"> (Decapoda: Parastacidae) based on nuclear and mitochondrial DNA. Mol. Phylo. Evol. 37:249-263.</t>
    </r>
  </si>
  <si>
    <r>
      <t xml:space="preserve">Heinze, J., A. Trindl, B. Seifert, and K. Yamauchi. 2005. Evolution of male morphology in the ant genus </t>
    </r>
    <r>
      <rPr>
        <i/>
        <sz val="10"/>
        <rFont val="Arial"/>
        <family val="2"/>
      </rPr>
      <t>Cardiocondyla.</t>
    </r>
    <r>
      <rPr>
        <sz val="10"/>
        <rFont val="Arial"/>
        <family val="2"/>
      </rPr>
      <t xml:space="preserve"> Mol. Phylo. Evol. 37:278-288.</t>
    </r>
  </si>
  <si>
    <r>
      <t xml:space="preserve">Eberhard, J. R., and E. Bermingham. 2005. Phylogeny and comparative biogeography of </t>
    </r>
    <r>
      <rPr>
        <i/>
        <sz val="10"/>
        <rFont val="Arial"/>
        <family val="2"/>
      </rPr>
      <t>Pionopsitta</t>
    </r>
    <r>
      <rPr>
        <sz val="10"/>
        <rFont val="Arial"/>
        <family val="2"/>
      </rPr>
      <t xml:space="preserve"> parrots and </t>
    </r>
    <r>
      <rPr>
        <i/>
        <sz val="10"/>
        <rFont val="Arial"/>
        <family val="2"/>
      </rPr>
      <t>Pteroglossus</t>
    </r>
    <r>
      <rPr>
        <sz val="10"/>
        <rFont val="Arial"/>
        <family val="2"/>
      </rPr>
      <t xml:space="preserve"> toucans. Mol. Phylo. Evol. 36:288-304.</t>
    </r>
  </si>
  <si>
    <r>
      <t xml:space="preserve">García-Moreno, J., N. Cortéz, G. M. García-Deras, and B. E. Hernández-Baños. 2006. Local origin and diversification among </t>
    </r>
    <r>
      <rPr>
        <i/>
        <sz val="10"/>
        <rFont val="Arial"/>
        <family val="2"/>
      </rPr>
      <t>Lampornis</t>
    </r>
    <r>
      <rPr>
        <sz val="10"/>
        <rFont val="Arial"/>
        <family val="2"/>
      </rPr>
      <t xml:space="preserve"> hummingbirds:  A Mesoamerican taxon. Mol. Phylo. Evol. 38:488-498.</t>
    </r>
  </si>
  <si>
    <r>
      <t xml:space="preserve">Morse, G. E., and B. D. Farrell. 2005. Interspecific phylogeography of the </t>
    </r>
    <r>
      <rPr>
        <i/>
        <sz val="10"/>
        <rFont val="Arial"/>
        <family val="2"/>
      </rPr>
      <t>Stator liombatus</t>
    </r>
    <r>
      <rPr>
        <sz val="10"/>
        <rFont val="Arial"/>
        <family val="2"/>
      </rPr>
      <t xml:space="preserve"> species complex: The geographic context of speciation and specialization. Mol. Phylo. Evol. 36:201-213.</t>
    </r>
  </si>
  <si>
    <r>
      <t xml:space="preserve">Olsson, U., P. Alstrom, P. G. P. Ericson and P. Sundberg. 2005. Non-monophyletic taxa and cryptic species - Evidence from a molecular phylogeny of leaf-warblers </t>
    </r>
    <r>
      <rPr>
        <i/>
        <sz val="10"/>
        <rFont val="Arial"/>
        <family val="2"/>
      </rPr>
      <t>(Phylloscopus,</t>
    </r>
    <r>
      <rPr>
        <sz val="10"/>
        <rFont val="Arial"/>
        <family val="2"/>
      </rPr>
      <t xml:space="preserve"> Aves). Mol. Phylo. Evol. 36:261-276.</t>
    </r>
  </si>
  <si>
    <r>
      <t xml:space="preserve">Sota, T., Y. Takami, G. B. Monteith, and B. P. Moore. 2005. Phylogenetic and character evolution of endemic Australian carabid beetles of the genus </t>
    </r>
    <r>
      <rPr>
        <i/>
        <sz val="10"/>
        <rFont val="Arial"/>
        <family val="2"/>
      </rPr>
      <t>Pamborus</t>
    </r>
    <r>
      <rPr>
        <sz val="10"/>
        <rFont val="Arial"/>
        <family val="2"/>
      </rPr>
      <t xml:space="preserve"> based on mitochondrial and nuclear gene sequences. Mol. Phylo. Evol. 36:391-404.</t>
    </r>
  </si>
  <si>
    <r>
      <t xml:space="preserve">Veyrunes, F., J. Britton-Davidian, T. J. Robinson, E. Calvet, C. Denys, and P. Chevret. 2005. Molecular phylogeny of the African pygmey mice, subgenus </t>
    </r>
    <r>
      <rPr>
        <i/>
        <sz val="10"/>
        <rFont val="Arial"/>
        <family val="2"/>
      </rPr>
      <t>Nannomys</t>
    </r>
    <r>
      <rPr>
        <sz val="10"/>
        <rFont val="Arial"/>
        <family val="2"/>
      </rPr>
      <t xml:space="preserve"> (Rodentia, Murinae, Mus): Implications for chromosomal evolution. Mol. Phylo. Evol. 36:358-369.</t>
    </r>
  </si>
  <si>
    <r>
      <t xml:space="preserve">Wilson, N. G., and M. S. Y. Lee. 2005. Molecular phylogeny of </t>
    </r>
    <r>
      <rPr>
        <i/>
        <sz val="10"/>
        <rFont val="Arial"/>
        <family val="2"/>
      </rPr>
      <t>Chromodoris</t>
    </r>
    <r>
      <rPr>
        <sz val="10"/>
        <rFont val="Arial"/>
        <family val="2"/>
      </rPr>
      <t xml:space="preserve"> (Mollusca, Nudibranchia) and the identification of a planar spawning clade. Mol. Phylo. Evol. 36:722-727.</t>
    </r>
  </si>
  <si>
    <r>
      <t xml:space="preserve">Yokoyama, R., and A. Goto. 2005. Evolutionary history of freshwater sculpins, genus </t>
    </r>
    <r>
      <rPr>
        <i/>
        <sz val="10"/>
        <rFont val="Arial"/>
        <family val="2"/>
      </rPr>
      <t>Cottus</t>
    </r>
    <r>
      <rPr>
        <sz val="10"/>
        <rFont val="Arial"/>
        <family val="2"/>
      </rPr>
      <t xml:space="preserve"> (Teleostei: Cottidae) and related taxa as inferred from the mitochondrial DNA phylogey. Mol. Phylo. Evol. 36:654-668.</t>
    </r>
  </si>
  <si>
    <r>
      <t xml:space="preserve">Ayoub, N. A., S. E. Reichert, and R. L. Small. 2005. Speciation history of the North American funnel web spiders, </t>
    </r>
    <r>
      <rPr>
        <i/>
        <sz val="10"/>
        <rFont val="Arial"/>
        <family val="2"/>
      </rPr>
      <t>Agelenopsis</t>
    </r>
    <r>
      <rPr>
        <sz val="10"/>
        <rFont val="Arial"/>
        <family val="2"/>
      </rPr>
      <t xml:space="preserve"> (Araneae: Agelenidae):Phylogenetic inferences at the population-species interface. Mol. Phylo. Evol. 36:42-57.</t>
    </r>
  </si>
  <si>
    <r>
      <t xml:space="preserve">Barber, P. H., and D. R. Bellwood. 2005. Biodiversity hotspots: evolutionary origins of biodiversity in wrasses </t>
    </r>
    <r>
      <rPr>
        <i/>
        <sz val="10"/>
        <rFont val="Arial"/>
        <family val="2"/>
      </rPr>
      <t>(Halichoeres:</t>
    </r>
    <r>
      <rPr>
        <sz val="10"/>
        <rFont val="Arial"/>
        <family val="2"/>
      </rPr>
      <t xml:space="preserve"> Labridae) in the Indo-Pacific and new world tropics. Mol. Phylo. Evol. 35:235-253.</t>
    </r>
  </si>
  <si>
    <r>
      <t xml:space="preserve">Barker, N. P., A. Vanderpoorten, C. M. Morten, and J. P. Rourke. 2004. Phylogeny, biogeography, and the evolution of life-history traits in </t>
    </r>
    <r>
      <rPr>
        <i/>
        <sz val="10"/>
        <rFont val="Arial"/>
        <family val="2"/>
      </rPr>
      <t>Leucadendron</t>
    </r>
    <r>
      <rPr>
        <sz val="10"/>
        <rFont val="Arial"/>
        <family val="2"/>
      </rPr>
      <t xml:space="preserve"> (Proteaceae). Mol. Phylo. Evol. 33:845-860.</t>
    </r>
  </si>
  <si>
    <r>
      <t xml:space="preserve">Burns, K. J., and K. Naoki. 2004. Molecular phylogenetics and biogeography of Neotropical tanagers in the genus </t>
    </r>
    <r>
      <rPr>
        <i/>
        <sz val="10"/>
        <rFont val="Arial"/>
        <family val="2"/>
      </rPr>
      <t>Tangara.</t>
    </r>
    <r>
      <rPr>
        <sz val="10"/>
        <rFont val="Arial"/>
        <family val="2"/>
      </rPr>
      <t xml:space="preserve"> Mol. Phylo. Evol. 32:838-854.</t>
    </r>
  </si>
  <si>
    <r>
      <t xml:space="preserve">Cárdenas, L., C. E. Hernández, E. Poulin, A. Magoulas, I. Kornfield, and F. P. Ojeda. 2005. Origin, diversificatino, and historical biogeography of the genus </t>
    </r>
    <r>
      <rPr>
        <i/>
        <sz val="10"/>
        <rFont val="Arial"/>
        <family val="2"/>
      </rPr>
      <t>Trachurus</t>
    </r>
    <r>
      <rPr>
        <sz val="10"/>
        <rFont val="Arial"/>
        <family val="2"/>
      </rPr>
      <t xml:space="preserve"> (Perciformes: Carangidae). Mol. Phylo. Evol. 35:496-507.</t>
    </r>
  </si>
  <si>
    <r>
      <t xml:space="preserve">Carranza, S., E. N. Arnold, E. Wade, and S. Fahd. 2004. Phylogeography of the false smooth snakes, </t>
    </r>
    <r>
      <rPr>
        <i/>
        <sz val="10"/>
        <rFont val="Arial"/>
        <family val="2"/>
      </rPr>
      <t>Macroprotodon</t>
    </r>
    <r>
      <rPr>
        <sz val="10"/>
        <rFont val="Arial"/>
        <family val="2"/>
      </rPr>
      <t xml:space="preserve"> (Serpentes, Colubridae): mitochondrial DNA sequences show European populations arrived recently from Northwest Africa. Mol. Phylo. Evol. 33:523-532.</t>
    </r>
  </si>
  <si>
    <r>
      <t xml:space="preserve">Doadrio, I., and J. A. Carmona. 2004. Phylogenetic relationships and biogeography of the genus </t>
    </r>
    <r>
      <rPr>
        <i/>
        <sz val="10"/>
        <rFont val="Arial"/>
        <family val="2"/>
      </rPr>
      <t>Chondrostoma</t>
    </r>
    <r>
      <rPr>
        <sz val="10"/>
        <rFont val="Arial"/>
        <family val="2"/>
      </rPr>
      <t xml:space="preserve"> inferred from mitochondrial DNA sequences. Mol. Phylo. Evol. 33:802-815.</t>
    </r>
  </si>
  <si>
    <r>
      <t xml:space="preserve">Froufe, E., I. K. S. Weiss. 2005. Phylogenetic analysis of the genus </t>
    </r>
    <r>
      <rPr>
        <i/>
        <sz val="10"/>
        <rFont val="Arial"/>
        <family val="2"/>
      </rPr>
      <t>Thymallus</t>
    </r>
    <r>
      <rPr>
        <sz val="10"/>
        <rFont val="Arial"/>
        <family val="2"/>
      </rPr>
      <t xml:space="preserve"> (grayling) based on mtDNA control region and ATPase 6 genes, with inferences on control region consraints and broade-scale Eurasian pylogeography. Mol. Phylo. Evol. 34:106-117.</t>
    </r>
  </si>
  <si>
    <r>
      <t xml:space="preserve">Garrigues, T., C. Dauga, E. Ferquel, V. Choumet, and A.-B. Failloux. 2005.Molecular phylogeny of </t>
    </r>
    <r>
      <rPr>
        <i/>
        <sz val="10"/>
        <rFont val="Arial"/>
        <family val="2"/>
      </rPr>
      <t>Vipera laurenti</t>
    </r>
    <r>
      <rPr>
        <sz val="10"/>
        <rFont val="Arial"/>
        <family val="2"/>
      </rPr>
      <t xml:space="preserve">, 1768 and the related genera </t>
    </r>
    <r>
      <rPr>
        <i/>
        <sz val="10"/>
        <rFont val="Arial"/>
        <family val="2"/>
      </rPr>
      <t>Macrovipera</t>
    </r>
    <r>
      <rPr>
        <sz val="10"/>
        <rFont val="Arial"/>
        <family val="2"/>
      </rPr>
      <t xml:space="preserve"> (Reuss, 1927) and </t>
    </r>
    <r>
      <rPr>
        <i/>
        <sz val="10"/>
        <rFont val="Arial"/>
        <family val="2"/>
      </rPr>
      <t>Daboia</t>
    </r>
    <r>
      <rPr>
        <sz val="10"/>
        <rFont val="Arial"/>
        <family val="2"/>
      </rPr>
      <t xml:space="preserve"> (Gray, 1842), with comments about neurotoxic </t>
    </r>
    <r>
      <rPr>
        <i/>
        <sz val="10"/>
        <rFont val="Arial"/>
        <family val="2"/>
      </rPr>
      <t xml:space="preserve">Vipera aspis aspis </t>
    </r>
    <r>
      <rPr>
        <sz val="10"/>
        <rFont val="Arial"/>
        <family val="2"/>
      </rPr>
      <t>populations. Mol. Phylo. Evol. 35:35-47.</t>
    </r>
  </si>
  <si>
    <r>
      <t xml:space="preserve">Goropashnaya, A. V., V. B. Fedorov, and P. Pamilo. 2004. Recent speciation in the </t>
    </r>
    <r>
      <rPr>
        <i/>
        <sz val="10"/>
        <rFont val="Arial"/>
        <family val="2"/>
      </rPr>
      <t>Formica rufa</t>
    </r>
    <r>
      <rPr>
        <sz val="10"/>
        <rFont val="Arial"/>
        <family val="2"/>
      </rPr>
      <t xml:space="preserve"> group ants (Hymenoptera, Formicidae): inference from mitochondrial DNA phylogeny. Mol. Phylo. Evol. 32:198-206.</t>
    </r>
  </si>
  <si>
    <r>
      <t>Hillis, D. M., and T. P. Wilcox. 2005. Phylogeny of the New World frogs (</t>
    </r>
    <r>
      <rPr>
        <i/>
        <sz val="10"/>
        <rFont val="Arial"/>
        <family val="2"/>
      </rPr>
      <t>Rana</t>
    </r>
    <r>
      <rPr>
        <sz val="10"/>
        <rFont val="Arial"/>
        <family val="2"/>
      </rPr>
      <t>). Mol. Phylo. Evol. 34:299-314.</t>
    </r>
  </si>
  <si>
    <r>
      <t xml:space="preserve">Hundsdoerfer, A. K., I. J. Kitching, and M. Wink. 2005. A molecular phylogeny of the hawkmoth genus </t>
    </r>
    <r>
      <rPr>
        <i/>
        <sz val="10"/>
        <rFont val="Arial"/>
        <family val="2"/>
      </rPr>
      <t>Hyles</t>
    </r>
    <r>
      <rPr>
        <sz val="10"/>
        <rFont val="Arial"/>
        <family val="2"/>
      </rPr>
      <t xml:space="preserve"> (Lepidoptera: Sphingidae, Macroglossinae). Mol. Phylo. Evol. 35:442-458.</t>
    </r>
  </si>
  <si>
    <r>
      <t>Ketmaier, V., P. G. Bianco, M. Cobolli, M. Krivokapic, R. Caniglia, and E. De Matthaeis. 2004. Molecular phylogeny of two lineages of Leuciscinae cyprinids (</t>
    </r>
    <r>
      <rPr>
        <i/>
        <sz val="10"/>
        <rFont val="Arial"/>
        <family val="2"/>
      </rPr>
      <t>Telestes</t>
    </r>
    <r>
      <rPr>
        <sz val="10"/>
        <rFont val="Arial"/>
        <family val="2"/>
      </rPr>
      <t xml:space="preserve"> and </t>
    </r>
    <r>
      <rPr>
        <i/>
        <sz val="10"/>
        <rFont val="Arial"/>
        <family val="2"/>
      </rPr>
      <t>Scardinius</t>
    </r>
    <r>
      <rPr>
        <sz val="10"/>
        <rFont val="Arial"/>
        <family val="2"/>
      </rPr>
      <t>) from the peri-Mediterranean area based on cytochrome b data. Mol. Phylo. Evol. 32:1061-1071.</t>
    </r>
  </si>
  <si>
    <r>
      <t xml:space="preserve">Kizirian, D., A. Trager, M. A. Donnelly, and J. W. Wright. 2004. Evolution of Galapagos Island Lava Lizards (Iguania: Tropiduridae: </t>
    </r>
    <r>
      <rPr>
        <i/>
        <sz val="10"/>
        <rFont val="Arial"/>
        <family val="2"/>
      </rPr>
      <t>Microlophus</t>
    </r>
    <r>
      <rPr>
        <sz val="10"/>
        <rFont val="Arial"/>
        <family val="2"/>
      </rPr>
      <t>). Mol. Phylo. Evol. 32:761-769.</t>
    </r>
  </si>
  <si>
    <r>
      <t xml:space="preserve">Klanten, S. O., L. van Herwerden, J. H. Choat, and D. Blair. 2004. Patterns of lineage diversification in the genus </t>
    </r>
    <r>
      <rPr>
        <i/>
        <sz val="10"/>
        <rFont val="Arial"/>
        <family val="2"/>
      </rPr>
      <t>Naso</t>
    </r>
    <r>
      <rPr>
        <sz val="10"/>
        <rFont val="Arial"/>
        <family val="2"/>
      </rPr>
      <t xml:space="preserve"> (Acanthuridae). Mol. Phylo. Evol. 32:221-235.</t>
    </r>
  </si>
  <si>
    <r>
      <t xml:space="preserve">Lijtmaer, D. A., N. M. M. Sharpe, P. L. Tubaro, and S. C. Lougheed. 2004. Molecular phylogenetics and diversification of the genus </t>
    </r>
    <r>
      <rPr>
        <i/>
        <sz val="10"/>
        <rFont val="Arial"/>
        <family val="2"/>
      </rPr>
      <t>Sporophila</t>
    </r>
    <r>
      <rPr>
        <sz val="10"/>
        <rFont val="Arial"/>
        <family val="2"/>
      </rPr>
      <t xml:space="preserve"> (Aves: Passeriformes). Mol. Phylo. Evol. 33:562-579.</t>
    </r>
  </si>
  <si>
    <r>
      <t xml:space="preserve">Luo, J., D. Yang, H. Suzuki, Y. Wang, W.-J. Chen, K. L. Campbell, and Y.-P. Zhang, 2004. Molecular phylogeny and biogeography of Oriental voles: genus </t>
    </r>
    <r>
      <rPr>
        <i/>
        <sz val="10"/>
        <rFont val="Arial"/>
        <family val="2"/>
      </rPr>
      <t>Eothenomys</t>
    </r>
    <r>
      <rPr>
        <sz val="10"/>
        <rFont val="Arial"/>
        <family val="2"/>
      </rPr>
      <t xml:space="preserve"> (Muridae, Mammalia). Mol. Phylo. Evol. 33:349-362.</t>
    </r>
  </si>
  <si>
    <r>
      <t>Malhotra, A., and R. S. Thorpe. 2004. A phylogeny of four mitochondrial gene regions suggests a revised taxonomy for Asian pitvipers (</t>
    </r>
    <r>
      <rPr>
        <i/>
        <sz val="10"/>
        <rFont val="Arial"/>
        <family val="2"/>
      </rPr>
      <t>Trimeresurus</t>
    </r>
    <r>
      <rPr>
        <sz val="10"/>
        <rFont val="Arial"/>
        <family val="2"/>
      </rPr>
      <t xml:space="preserve"> and </t>
    </r>
    <r>
      <rPr>
        <i/>
        <sz val="10"/>
        <rFont val="Arial"/>
        <family val="2"/>
      </rPr>
      <t>Oviphis</t>
    </r>
    <r>
      <rPr>
        <sz val="10"/>
        <rFont val="Arial"/>
        <family val="2"/>
      </rPr>
      <t>). Mol. Phylo. Evol. 32:83-100.</t>
    </r>
  </si>
  <si>
    <r>
      <t xml:space="preserve">Mallarino, R., E. Bermingham, K. R. Willmott, A. Whinnett, and C. D. Jiggins. 2005. Molecular systematics of the butterfly genus </t>
    </r>
    <r>
      <rPr>
        <i/>
        <sz val="10"/>
        <rFont val="Arial"/>
        <family val="2"/>
      </rPr>
      <t>Ithomia</t>
    </r>
    <r>
      <rPr>
        <sz val="10"/>
        <rFont val="Arial"/>
        <family val="2"/>
      </rPr>
      <t xml:space="preserve"> (Lepidoptera: Ithomiinae): a composite phylogenetic hypothesis based on seven genes. Mol. Phylo. Evol. 34:625-644.</t>
    </r>
  </si>
  <si>
    <r>
      <t xml:space="preserve">Minegishi, Y., J. Aoyama, J. G. Inoue, M. Miya, M. Nishida, and K. Tsukamoto. 2005. Molecular phylogeny and evolution of the freshwater eels genus </t>
    </r>
    <r>
      <rPr>
        <i/>
        <sz val="10"/>
        <rFont val="Arial"/>
        <family val="2"/>
      </rPr>
      <t>Anguilla</t>
    </r>
    <r>
      <rPr>
        <sz val="10"/>
        <rFont val="Arial"/>
        <family val="2"/>
      </rPr>
      <t xml:space="preserve"> based on the whole mitochondrial genome sequences. Mol. Phylo. Evol. 34: 134-146.</t>
    </r>
  </si>
  <si>
    <r>
      <t xml:space="preserve">Moussalli, A., A. F. Hugall, and C. Moritz. 2005. A mitochondrial phylogeny of the rainforest skink genus </t>
    </r>
    <r>
      <rPr>
        <i/>
        <sz val="10"/>
        <rFont val="Arial"/>
        <family val="2"/>
      </rPr>
      <t>Saproscincus,</t>
    </r>
    <r>
      <rPr>
        <sz val="10"/>
        <rFont val="Arial"/>
        <family val="2"/>
      </rPr>
      <t xml:space="preserve"> Wells and Wellington (1984). Mol. Phylo. Evol. 34:190-202.</t>
    </r>
  </si>
  <si>
    <t>Near, T. J., D. I. Bolnick, and P. C. Wainwright. 2004. Investigating phylogenetic relationsihps of sunfishes and black basses (Actinopterygii: Centrarchidae) using DNA sequences from mitochondrial and nuclear genes. Mol. Phylo. Evol. 32:344-357.</t>
  </si>
  <si>
    <r>
      <t xml:space="preserve">Neves, S. S., G. Swire-Clark, K. W. Hilu, and W. B. Baird. 2005. Phylogeny of </t>
    </r>
    <r>
      <rPr>
        <i/>
        <sz val="10"/>
        <rFont val="Arial"/>
        <family val="2"/>
      </rPr>
      <t>Eleusine</t>
    </r>
    <r>
      <rPr>
        <sz val="10"/>
        <rFont val="Arial"/>
        <family val="2"/>
      </rPr>
      <t xml:space="preserve"> (Poaceae: Chloridoideae) based on nuclear ITS and plastid trnT-trnF sequences. Mol. Phylo. Evol. 35:395-419.</t>
    </r>
  </si>
  <si>
    <r>
      <t xml:space="preserve">Overton, L. C., and D. D. Rhoads. 2004. Molecular phylogenetic relationships based on mitochondrial and nuclear gene sequences for the Todies </t>
    </r>
    <r>
      <rPr>
        <i/>
        <sz val="10"/>
        <rFont val="Arial"/>
        <family val="2"/>
      </rPr>
      <t>(Todus,</t>
    </r>
    <r>
      <rPr>
        <sz val="10"/>
        <rFont val="Arial"/>
        <family val="2"/>
      </rPr>
      <t xml:space="preserve"> Todidae) of the Caribbean. Mol. Phylo. Evol. 32:524-538.</t>
    </r>
  </si>
  <si>
    <r>
      <t xml:space="preserve">Swigoňová, Z., and K. M. Kjer. 2004. Phylogeny and host-plant association in the leaf beetle genus </t>
    </r>
    <r>
      <rPr>
        <i/>
        <sz val="10"/>
        <rFont val="Arial"/>
        <family val="2"/>
      </rPr>
      <t>Trirhabda</t>
    </r>
    <r>
      <rPr>
        <sz val="10"/>
        <rFont val="Arial"/>
        <family val="2"/>
      </rPr>
      <t xml:space="preserve"> LeConte (Coleoptera: Chrysomelidae). Mol. Phylo. Evol. 32:358-374.</t>
    </r>
  </si>
  <si>
    <r>
      <t xml:space="preserve">Xiao, H., S.-y. Chen, X.-m. Liu, R.-d. Zhang, W.-x. Li, R.-g. Zan, and Y.-p. Zhang. 2005. Molecular phylogeny of </t>
    </r>
    <r>
      <rPr>
        <i/>
        <sz val="10"/>
        <rFont val="Arial"/>
        <family val="2"/>
      </rPr>
      <t>Sinocyclocheilus</t>
    </r>
    <r>
      <rPr>
        <sz val="10"/>
        <rFont val="Arial"/>
        <family val="2"/>
      </rPr>
      <t xml:space="preserve"> (Cypriniformes: Cyprinidae) inferred from mitochondrial DNA sequences. Mol. Phylo. Evol. 36:67-77.</t>
    </r>
  </si>
  <si>
    <r>
      <t xml:space="preserve">Yi, T., A. J. Miller, and J. Wen. 2004. Phylogenetic and biogeographic diversification of </t>
    </r>
    <r>
      <rPr>
        <i/>
        <sz val="10"/>
        <rFont val="Arial"/>
        <family val="2"/>
      </rPr>
      <t>Rhus</t>
    </r>
    <r>
      <rPr>
        <sz val="10"/>
        <rFont val="Arial"/>
        <family val="2"/>
      </rPr>
      <t xml:space="preserve"> (Anacardiaceae) in the Northern Hemisphere. Mol. Phylo. Evol. 33:861-879.</t>
    </r>
  </si>
  <si>
    <r>
      <t xml:space="preserve">Bell, K. L., D. K. Yeates, C. Moritz, and G. B. Montgeith. 2004. Molecular phylogeny and biogeography of the dung beetle genus </t>
    </r>
    <r>
      <rPr>
        <i/>
        <sz val="10"/>
        <rFont val="Arial"/>
        <family val="2"/>
      </rPr>
      <t>Temnoplectron</t>
    </r>
    <r>
      <rPr>
        <sz val="10"/>
        <rFont val="Arial"/>
        <family val="2"/>
      </rPr>
      <t xml:space="preserve"> Westwood (Scarabaeidae: Scarabaeinae) from Australia's wet tropics. Mol. Phylo. Evol. 31:741-753.</t>
    </r>
  </si>
  <si>
    <r>
      <t xml:space="preserve">Banford, H. M., E. Bermingham, and B. B. Collette. 2004. Molecular phylogenetics and biogeography of transisthmian and amphi-Atlantic needlefishes (Belonidae: </t>
    </r>
    <r>
      <rPr>
        <i/>
        <sz val="10"/>
        <rFont val="Arial"/>
        <family val="2"/>
      </rPr>
      <t>Strongylura</t>
    </r>
    <r>
      <rPr>
        <sz val="10"/>
        <rFont val="Arial"/>
        <family val="2"/>
      </rPr>
      <t xml:space="preserve"> and </t>
    </r>
    <r>
      <rPr>
        <i/>
        <sz val="10"/>
        <rFont val="Arial"/>
        <family val="2"/>
      </rPr>
      <t>Tylosurus</t>
    </r>
    <r>
      <rPr>
        <sz val="10"/>
        <rFont val="Arial"/>
        <family val="2"/>
      </rPr>
      <t>): perspectives and New World marine speciation. Mol. Phylo. Evol. 31:833-851.</t>
    </r>
  </si>
  <si>
    <r>
      <t xml:space="preserve">Artiss, T., T. R. Schultz, D. A. Polhemus, and C. Simon. 2001. Molecular phylogenetic analysis of the dragonfly genus </t>
    </r>
    <r>
      <rPr>
        <i/>
        <sz val="10"/>
        <rFont val="Arial"/>
        <family val="2"/>
      </rPr>
      <t>Libellula,</t>
    </r>
    <r>
      <rPr>
        <sz val="10"/>
        <rFont val="Arial"/>
        <family val="2"/>
      </rPr>
      <t xml:space="preserve"> </t>
    </r>
    <r>
      <rPr>
        <i/>
        <sz val="10"/>
        <rFont val="Arial"/>
        <family val="2"/>
      </rPr>
      <t>Ladona,</t>
    </r>
    <r>
      <rPr>
        <sz val="10"/>
        <rFont val="Arial"/>
        <family val="2"/>
      </rPr>
      <t xml:space="preserve"> and </t>
    </r>
    <r>
      <rPr>
        <i/>
        <sz val="10"/>
        <rFont val="Arial"/>
        <family val="2"/>
      </rPr>
      <t>Plathemis</t>
    </r>
    <r>
      <rPr>
        <sz val="10"/>
        <rFont val="Arial"/>
        <family val="2"/>
      </rPr>
      <t xml:space="preserve"> (Odonata: Libellulidae) based on mitochondrial cytochrome oxidase I and 15S rRNA sequence data. Mol. Phylo. Evol. 18:348-361.</t>
    </r>
  </si>
  <si>
    <r>
      <t>Austin, J. J., E. N. Arnold, and C. G. Jones. 2004. Reconstructing an island radiation using ancient and recent DNA: the extinct and living day geckos (</t>
    </r>
    <r>
      <rPr>
        <i/>
        <sz val="10"/>
        <rFont val="Arial"/>
        <family val="2"/>
      </rPr>
      <t>Phelsuma</t>
    </r>
    <r>
      <rPr>
        <sz val="10"/>
        <rFont val="Arial"/>
        <family val="2"/>
      </rPr>
      <t>) of the Mascarene islands. Mol. Phylo. Evol. 31:109-122.</t>
    </r>
  </si>
  <si>
    <r>
      <t xml:space="preserve">Austin, J. J. 1996. Molelucar phylogenetics of </t>
    </r>
    <r>
      <rPr>
        <i/>
        <sz val="10"/>
        <rFont val="Arial"/>
        <family val="2"/>
      </rPr>
      <t>Pufinus</t>
    </r>
    <r>
      <rPr>
        <sz val="10"/>
        <rFont val="Arial"/>
        <family val="2"/>
      </rPr>
      <t xml:space="preserve"> shearwaters: Preliminary evidence from mitochondrial cytochrome b gene sequences. Mol. Phylo. Evol. 6:77-88.</t>
    </r>
  </si>
  <si>
    <r>
      <t xml:space="preserve">Becerra, J. X. 2003. Evolution of Mexican </t>
    </r>
    <r>
      <rPr>
        <i/>
        <sz val="10"/>
        <rFont val="Arial"/>
        <family val="2"/>
      </rPr>
      <t>Bursera</t>
    </r>
    <r>
      <rPr>
        <sz val="10"/>
        <rFont val="Arial"/>
        <family val="2"/>
      </rPr>
      <t xml:space="preserve"> (Burseraceae) inferred from ITS, ETS, and 5S nuclear ribosomal DNA sequences. Mol. Phylo. Evol. 26:300-309.</t>
    </r>
  </si>
  <si>
    <r>
      <t xml:space="preserve">Blum, M. J., E. Bermingham and K. Dasmahapatra. 2003. A molecular phylogeny of the neotropical butterfly genus </t>
    </r>
    <r>
      <rPr>
        <i/>
        <sz val="10"/>
        <rFont val="Arial"/>
        <family val="2"/>
      </rPr>
      <t>Anartia</t>
    </r>
    <r>
      <rPr>
        <sz val="10"/>
        <rFont val="Arial"/>
        <family val="2"/>
      </rPr>
      <t xml:space="preserve"> (Lepidoptera: Nymphalidae). Mol. Phylo. Evol. 26:46-55.</t>
    </r>
  </si>
  <si>
    <r>
      <t xml:space="preserve">Alfaro, M. E., and S. J. Arnold. 2001. Molecular systematics and evolution of </t>
    </r>
    <r>
      <rPr>
        <i/>
        <sz val="10"/>
        <rFont val="Arial"/>
        <family val="2"/>
      </rPr>
      <t>Regina</t>
    </r>
    <r>
      <rPr>
        <sz val="10"/>
        <rFont val="Arial"/>
        <family val="2"/>
      </rPr>
      <t xml:space="preserve"> and the Thamnophiine snakes. Mol. Phylo. Evol. 21:408-423.</t>
    </r>
  </si>
  <si>
    <r>
      <t>Collins, A. C., and J. M. Dubach. 2001. Nuclear DNA variation in spider monkeys (</t>
    </r>
    <r>
      <rPr>
        <i/>
        <sz val="10"/>
        <rFont val="Arial"/>
        <family val="2"/>
      </rPr>
      <t>Ateles</t>
    </r>
    <r>
      <rPr>
        <sz val="10"/>
        <rFont val="Arial"/>
        <family val="2"/>
      </rPr>
      <t>). Mol. Phylo. Evol. 19:67-75.</t>
    </r>
  </si>
  <si>
    <r>
      <t xml:space="preserve">Burridge, C. P. 1999. Molecular phylogeny of </t>
    </r>
    <r>
      <rPr>
        <i/>
        <sz val="10"/>
        <rFont val="Arial"/>
        <family val="2"/>
      </rPr>
      <t>Nemadactylus</t>
    </r>
    <r>
      <rPr>
        <sz val="10"/>
        <rFont val="Arial"/>
        <family val="2"/>
      </rPr>
      <t xml:space="preserve"> and </t>
    </r>
    <r>
      <rPr>
        <i/>
        <sz val="10"/>
        <rFont val="Arial"/>
        <family val="2"/>
      </rPr>
      <t>Acantholatris</t>
    </r>
    <r>
      <rPr>
        <sz val="10"/>
        <rFont val="Arial"/>
        <family val="2"/>
      </rPr>
      <t xml:space="preserve"> (Perciformes: Ciffhitoidea: Cheilodactylidae), with implications for taxonomy and biogeography. Mol. Phylo. Evol. 13:93-109.</t>
    </r>
  </si>
  <si>
    <r>
      <t xml:space="preserve">Chesser, R. T. 2000. Evolution in the  high Andes: The phylogenetics of </t>
    </r>
    <r>
      <rPr>
        <i/>
        <sz val="10"/>
        <rFont val="Arial"/>
        <family val="2"/>
      </rPr>
      <t>Muscisaxicola</t>
    </r>
    <r>
      <rPr>
        <sz val="10"/>
        <rFont val="Arial"/>
        <family val="2"/>
      </rPr>
      <t xml:space="preserve"> ground-tyrants. Mol. Phylo. Evol. 15:369-380.</t>
    </r>
  </si>
  <si>
    <r>
      <t xml:space="preserve">Chippendale, P. T., V. K. Dave, D. H. Whitmore, and J. V. Robinson. 1999. Phylogenetic relationships of North American damselflies of the genus </t>
    </r>
    <r>
      <rPr>
        <i/>
        <sz val="10"/>
        <rFont val="Arial"/>
        <family val="2"/>
      </rPr>
      <t>Ischnura</t>
    </r>
    <r>
      <rPr>
        <sz val="10"/>
        <rFont val="Arial"/>
        <family val="2"/>
      </rPr>
      <t xml:space="preserve"> (Odonata: Zygoptera: Coneagrionidae) based on sequences of three mitochondrial genes. Mol. Phylo. Evol. 11:110-121.</t>
    </r>
  </si>
  <si>
    <r>
      <t xml:space="preserve">Cortes-Ortiz, L., E. Bermingham, C. Rico, E. Rodriguez-Luna, I. Scampaio, and M. Ruiz-Garcia. 2002. Molecular systematics and biogeography of the Neotropical monkey genus, </t>
    </r>
    <r>
      <rPr>
        <i/>
        <sz val="10"/>
        <rFont val="Arial"/>
        <family val="2"/>
      </rPr>
      <t>Alouatta.</t>
    </r>
    <r>
      <rPr>
        <sz val="10"/>
        <rFont val="Arial"/>
        <family val="2"/>
      </rPr>
      <t xml:space="preserve"> Mol. Phylo. Evol. 26:64-81</t>
    </r>
  </si>
  <si>
    <r>
      <t>Crochet, P. -A., O. Chaline, Y. Surget-Groba, C. Debain, and M. Cheylan. 2003. Speciation in mountains: phylogeography and phyolgeny of the rock lizards genus</t>
    </r>
    <r>
      <rPr>
        <i/>
        <sz val="10"/>
        <rFont val="Arial"/>
        <family val="2"/>
      </rPr>
      <t xml:space="preserve"> Iberolacerta</t>
    </r>
    <r>
      <rPr>
        <sz val="10"/>
        <rFont val="Arial"/>
        <family val="2"/>
      </rPr>
      <t xml:space="preserve"> (Reptilia: Lacertidae). Mol. Phylo. Evol. 30:860-866.</t>
    </r>
  </si>
  <si>
    <r>
      <t xml:space="preserve">Daniels, S. R., B. A. Stewart, G. Gouws, M. Cunningham, and C. A. Matthee. 2002. Phylogenetic relationships of the southern African freshwater crab fauna (Decapoda: Potamonautidae: </t>
    </r>
    <r>
      <rPr>
        <i/>
        <sz val="10"/>
        <rFont val="Arial"/>
        <family val="2"/>
      </rPr>
      <t>Potamonautes</t>
    </r>
    <r>
      <rPr>
        <sz val="10"/>
        <rFont val="Arial"/>
        <family val="2"/>
      </rPr>
      <t>) derived from multiple data sets reveal biogeographic patterning. Mol. Phylo. Evol. 25: 511-523.</t>
    </r>
  </si>
  <si>
    <r>
      <t>de Queiroz, A., R. Lawson, and J. A. Lemos-Espinal. 2002. Phylogenetic relationships of North Ameican garter snakes (</t>
    </r>
    <r>
      <rPr>
        <i/>
        <sz val="10"/>
        <rFont val="Arial"/>
        <family val="2"/>
      </rPr>
      <t>Thamnophis</t>
    </r>
    <r>
      <rPr>
        <sz val="10"/>
        <rFont val="Arial"/>
        <family val="2"/>
      </rPr>
      <t>) based on four mitochondrial genes: How much DNA sequence is enough? Mol. Phylo. Evol. 22: 315-329.</t>
    </r>
  </si>
  <si>
    <r>
      <t xml:space="preserve">Demastes, J. W., T. A. Spradling, M. S. Hafner, D. J. Hafner, and D. L. Reed. 2002. Systematics and Phylogeography of Pocket Gophers in the Genera </t>
    </r>
    <r>
      <rPr>
        <i/>
        <sz val="10"/>
        <rFont val="Arial"/>
        <family val="2"/>
      </rPr>
      <t>Cratogeomys</t>
    </r>
    <r>
      <rPr>
        <sz val="10"/>
        <rFont val="Arial"/>
        <family val="2"/>
      </rPr>
      <t xml:space="preserve"> and </t>
    </r>
    <r>
      <rPr>
        <i/>
        <sz val="10"/>
        <rFont val="Arial"/>
        <family val="2"/>
      </rPr>
      <t>Pappogeomys</t>
    </r>
    <r>
      <rPr>
        <sz val="10"/>
        <rFont val="Arial"/>
        <family val="2"/>
      </rPr>
      <t>. Mol. Phylo. Evol. 22:144-145.</t>
    </r>
  </si>
  <si>
    <r>
      <t xml:space="preserve">Dietrich, C. H., R. F. Whitcomb, and W. C. Balck IV. 1997. Phyogeny of the grassland leafhopper genus </t>
    </r>
    <r>
      <rPr>
        <i/>
        <sz val="10"/>
        <rFont val="Arial"/>
        <family val="2"/>
      </rPr>
      <t>Flexamia</t>
    </r>
    <r>
      <rPr>
        <sz val="10"/>
        <rFont val="Arial"/>
        <family val="2"/>
      </rPr>
      <t xml:space="preserve"> (Homoptra: Cicadellidae) based on Mitochondrial NDA sequences. Mol. Phylo. Evol. 8:139-149.</t>
    </r>
  </si>
  <si>
    <r>
      <t xml:space="preserve">Durcroz, J. -F., V. Volobouev, and L. Granjon. 1998. A molecular perspective on the systematics and evolution of the genus </t>
    </r>
    <r>
      <rPr>
        <i/>
        <sz val="10"/>
        <rFont val="Arial"/>
        <family val="2"/>
      </rPr>
      <t>Arvicanthis</t>
    </r>
    <r>
      <rPr>
        <sz val="10"/>
        <rFont val="Arial"/>
        <family val="2"/>
      </rPr>
      <t xml:space="preserve"> (Rodentia, Muridae): Inferences from complete Cytochome b gene sequences. Mol. Phylo. Evol. 10:104-117.</t>
    </r>
  </si>
  <si>
    <r>
      <t xml:space="preserve">Faber, J. E., and C. A. Stepien. 1998. Tandemly repeated sequences in the mitochondrial DNA control region and phylogeography of Pike-Perches </t>
    </r>
    <r>
      <rPr>
        <i/>
        <sz val="10"/>
        <rFont val="Arial"/>
        <family val="2"/>
      </rPr>
      <t>Stizostedion</t>
    </r>
    <r>
      <rPr>
        <sz val="10"/>
        <rFont val="Arial"/>
        <family val="2"/>
      </rPr>
      <t>. Mol. Phylo. Evol. 10:310-322.</t>
    </r>
  </si>
  <si>
    <r>
      <t xml:space="preserve">Garb, J. E., A. Gonzalez, and R. G. Gillespie. 2004. The black widow spider genus </t>
    </r>
    <r>
      <rPr>
        <i/>
        <sz val="10"/>
        <rFont val="Arial"/>
        <family val="2"/>
      </rPr>
      <t>Latrodectus</t>
    </r>
    <r>
      <rPr>
        <sz val="10"/>
        <rFont val="Arial"/>
        <family val="2"/>
      </rPr>
      <t xml:space="preserve"> (Araneae: Theridiidae): Phylogeny, biogeography, and invasion history. Mol. Phylo. Evol. 31:1127-1142.</t>
    </r>
  </si>
  <si>
    <r>
      <t xml:space="preserve">Garcia-Moreno, J., P. Arctander, and  J. Fjedsas. 1999. A case of rapid diversification in the neotropics:phylogenetic relationship among </t>
    </r>
    <r>
      <rPr>
        <i/>
        <sz val="10"/>
        <rFont val="Arial"/>
        <family val="2"/>
      </rPr>
      <t>Cranioleuca</t>
    </r>
    <r>
      <rPr>
        <sz val="10"/>
        <rFont val="Arial"/>
        <family val="2"/>
      </rPr>
      <t xml:space="preserve"> Spinetails (Aves, Furnariidae). Mol. Phylo. Evol. 12:273-281.</t>
    </r>
  </si>
  <si>
    <r>
      <t xml:space="preserve">Gonzalez, P., F. Pinto, M. Nogales, J. Jimenez-Asensio, M. Hernandez, and V. M. Cabrera. 1996. Phylogenetic relationships of the Canary islands endemic lizard genus </t>
    </r>
    <r>
      <rPr>
        <i/>
        <sz val="10"/>
        <rFont val="Arial"/>
        <family val="2"/>
      </rPr>
      <t>Gallotia</t>
    </r>
    <r>
      <rPr>
        <sz val="10"/>
        <rFont val="Arial"/>
        <family val="2"/>
      </rPr>
      <t xml:space="preserve"> (Sauria: Lacertidae), inferred from nitochondrial DNA sequences. Mol. Phylo. Evol. 6:63-71.</t>
    </r>
  </si>
  <si>
    <r>
      <t xml:space="preserve">Groombridge, J. J., C. G. Jones, R. A. Nichols, M. Carlton, and M. W. Bruford. 2004. Molecular phylogeny and morphological change in the </t>
    </r>
    <r>
      <rPr>
        <i/>
        <sz val="10"/>
        <rFont val="Arial"/>
        <family val="2"/>
      </rPr>
      <t>Psittacula</t>
    </r>
    <r>
      <rPr>
        <sz val="10"/>
        <rFont val="Arial"/>
        <family val="2"/>
      </rPr>
      <t xml:space="preserve"> parakeets. Mol. Phylo. Evol. 31:96-108.</t>
    </r>
  </si>
  <si>
    <r>
      <t xml:space="preserve">Hardman, M. 2004. The phylogenetic relationships among </t>
    </r>
    <r>
      <rPr>
        <i/>
        <sz val="10"/>
        <rFont val="Arial"/>
        <family val="2"/>
      </rPr>
      <t>Noturus</t>
    </r>
    <r>
      <rPr>
        <sz val="10"/>
        <rFont val="Arial"/>
        <family val="2"/>
      </rPr>
      <t xml:space="preserve"> catfishes (Siluriformes: Inctaluridae) as inferred from mitochondrial gene cytochrome b and nucleae recombination activating gene 2. Mol. Phylo. Evol. 30:395-408.</t>
    </r>
  </si>
  <si>
    <r>
      <t xml:space="preserve">Harrison, J. S. 2004. Evolution, biogeography, and the utility of mitochondrial 16s and COI genes in phylogenetic analysis of the crab genus </t>
    </r>
    <r>
      <rPr>
        <i/>
        <sz val="10"/>
        <rFont val="Arial"/>
        <family val="2"/>
      </rPr>
      <t>Austinixa</t>
    </r>
    <r>
      <rPr>
        <sz val="10"/>
        <rFont val="Arial"/>
        <family val="2"/>
      </rPr>
      <t xml:space="preserve"> (Decapoda: Pinnotheridae). Mol. Phylo. Evol. 30:743-754.</t>
    </r>
  </si>
  <si>
    <r>
      <t>Hodges, W. L. and K. R. Zamudio. 2004. Horned lizard (</t>
    </r>
    <r>
      <rPr>
        <i/>
        <sz val="10"/>
        <rFont val="Arial"/>
        <family val="2"/>
      </rPr>
      <t>Phrynosoma</t>
    </r>
    <r>
      <rPr>
        <sz val="10"/>
        <rFont val="Arial"/>
        <family val="2"/>
      </rPr>
      <t>) phylogeny inferred from mitochondrial genes and morphological characters: understanding conflicts using multiple approaches. Mol. Phylo. Evol. 31:961-971.</t>
    </r>
  </si>
  <si>
    <r>
      <t xml:space="preserve">Ingram, C. M., H. Burda, and R. L. Honeycutt. 2004. Molecular phylogenetics and taxonomy of the African mole-rats, genus </t>
    </r>
    <r>
      <rPr>
        <i/>
        <sz val="10"/>
        <rFont val="Arial"/>
        <family val="2"/>
      </rPr>
      <t>Cryptomys</t>
    </r>
    <r>
      <rPr>
        <sz val="10"/>
        <rFont val="Arial"/>
        <family val="2"/>
      </rPr>
      <t xml:space="preserve"> and the new genus </t>
    </r>
    <r>
      <rPr>
        <i/>
        <sz val="10"/>
        <rFont val="Arial"/>
        <family val="2"/>
      </rPr>
      <t>Coetomys</t>
    </r>
    <r>
      <rPr>
        <sz val="10"/>
        <rFont val="Arial"/>
        <family val="2"/>
      </rPr>
      <t xml:space="preserve"> Gray, 1864. Mol. Phylo. Evol. 31:997-1014.</t>
    </r>
  </si>
  <si>
    <r>
      <t xml:space="preserve">Jordal, B. H., L. R. Kirkendall, and K. Harkestad. 2004. Phylogeny of a Macaronesian radiation: host-plant use and possible cryptic speciation in </t>
    </r>
    <r>
      <rPr>
        <i/>
        <sz val="10"/>
        <rFont val="Arial"/>
        <family val="2"/>
      </rPr>
      <t>Liparthrum</t>
    </r>
    <r>
      <rPr>
        <sz val="10"/>
        <rFont val="Arial"/>
        <family val="2"/>
      </rPr>
      <t xml:space="preserve"> bark beetles. Mol. Phylo. Evol. 31:554-571.</t>
    </r>
  </si>
  <si>
    <r>
      <t xml:space="preserve">Joseph, L., T. Wilke, E. Bermingham, D. Alpers, and R. Ricklefs. 2004. Towards a phylogenetic framework for the evolution of snakes, rattles, and rolls in </t>
    </r>
    <r>
      <rPr>
        <i/>
        <sz val="10"/>
        <rFont val="Arial"/>
        <family val="2"/>
      </rPr>
      <t>Myiarchus</t>
    </r>
    <r>
      <rPr>
        <sz val="10"/>
        <rFont val="Arial"/>
        <family val="2"/>
      </rPr>
      <t xml:space="preserve"> tyrant-flycatchers (Aves: Passeriformes: Tyrannidae). Mol. Phylo. Evol. 31:139-152.</t>
    </r>
  </si>
  <si>
    <r>
      <t>Klicka, J., R. M. Zink, and K. Winker. 2003. Longspurs and snow bunthings: phylogeny and biogeography of a high-latitude clade (</t>
    </r>
    <r>
      <rPr>
        <i/>
        <sz val="10"/>
        <rFont val="Arial"/>
        <family val="2"/>
      </rPr>
      <t>Calcarius</t>
    </r>
    <r>
      <rPr>
        <sz val="10"/>
        <rFont val="Arial"/>
        <family val="2"/>
      </rPr>
      <t>). Mol. Phylo. Evol. 26:165-175.</t>
    </r>
  </si>
  <si>
    <r>
      <t xml:space="preserve">Kochzius, M., R. Soller, M. A. Khalaf, and D. Blohm. 2003. Molecular phylogeny of the lionfish genera </t>
    </r>
    <r>
      <rPr>
        <i/>
        <sz val="10"/>
        <rFont val="Arial"/>
        <family val="2"/>
      </rPr>
      <t>Dendrochirus</t>
    </r>
    <r>
      <rPr>
        <sz val="10"/>
        <rFont val="Arial"/>
        <family val="2"/>
      </rPr>
      <t xml:space="preserve"> and </t>
    </r>
    <r>
      <rPr>
        <i/>
        <sz val="10"/>
        <rFont val="Arial"/>
        <family val="2"/>
      </rPr>
      <t>Pterois</t>
    </r>
    <r>
      <rPr>
        <sz val="10"/>
        <rFont val="Arial"/>
        <family val="2"/>
      </rPr>
      <t xml:space="preserve"> (Scorpaenidae, Pteroinae) based on mitochondrial DNA sequences. Mol. Phylo. Evol. 28:396-403.</t>
    </r>
  </si>
  <si>
    <r>
      <t xml:space="preserve">Kosuch, J., M. Vences, A. Dubios, A. Ohler, and W. Bohme.  2001. Out of Asia: Mitocondrial DNA evidence for an oriental origin of tiger frogs, genus </t>
    </r>
    <r>
      <rPr>
        <i/>
        <sz val="10"/>
        <rFont val="Arial"/>
        <family val="2"/>
      </rPr>
      <t>Hoplobatrachus.</t>
    </r>
    <r>
      <rPr>
        <sz val="10"/>
        <rFont val="Arial"/>
        <family val="2"/>
      </rPr>
      <t xml:space="preserve"> Mol. Phylo. Evol. 21:398-407. </t>
    </r>
  </si>
  <si>
    <r>
      <t xml:space="preserve">Lavery, S., T. Y. Cahn, Y. K. Tam, and K. H. Chu. 2004. Phylogenetic relationships and evolutionary History of shrimp genus </t>
    </r>
    <r>
      <rPr>
        <i/>
        <sz val="10"/>
        <rFont val="Arial"/>
        <family val="2"/>
      </rPr>
      <t>Penaeus</t>
    </r>
    <r>
      <rPr>
        <sz val="10"/>
        <rFont val="Arial"/>
        <family val="2"/>
      </rPr>
      <t xml:space="preserve"> s.l. derived from mitochondrial DNA. Mol. Phylo. Evol. 31:39-49.</t>
    </r>
  </si>
  <si>
    <r>
      <t xml:space="preserve">Lee, S., C. S. Parr, Y. Hwang, D. P. Mindell, and J. C. Choe. 2003. Phylogeny of magpies (genus </t>
    </r>
    <r>
      <rPr>
        <i/>
        <sz val="10"/>
        <rFont val="Arial"/>
        <family val="2"/>
      </rPr>
      <t>Pica</t>
    </r>
    <r>
      <rPr>
        <sz val="10"/>
        <rFont val="Arial"/>
        <family val="2"/>
      </rPr>
      <t>) inferred from mtDNA data. Mol. Phylo. Evol. 29:250-257.</t>
    </r>
  </si>
  <si>
    <r>
      <t xml:space="preserve">Mahoney, M. J. 2001. Molecular systematics of </t>
    </r>
    <r>
      <rPr>
        <i/>
        <sz val="10"/>
        <rFont val="Arial"/>
        <family val="2"/>
      </rPr>
      <t>Plethodon</t>
    </r>
    <r>
      <rPr>
        <sz val="10"/>
        <rFont val="Arial"/>
        <family val="2"/>
      </rPr>
      <t xml:space="preserve"> and </t>
    </r>
    <r>
      <rPr>
        <i/>
        <sz val="10"/>
        <rFont val="Arial"/>
        <family val="2"/>
      </rPr>
      <t>Aneides</t>
    </r>
    <r>
      <rPr>
        <sz val="10"/>
        <rFont val="Arial"/>
        <family val="2"/>
      </rPr>
      <t xml:space="preserve"> (Caudata:Plethodontidea: Plethodontini): Phylogenetic analysis of and old rapid radiation. Mol. Phylo. Evol. 18:174-188.</t>
    </r>
  </si>
  <si>
    <r>
      <t xml:space="preserve">Malhortra, A., and R. S. Thorpe. 2000. A phylogeny of the </t>
    </r>
    <r>
      <rPr>
        <i/>
        <sz val="10"/>
        <rFont val="Arial"/>
        <family val="2"/>
      </rPr>
      <t>Trimeresurus</t>
    </r>
    <r>
      <rPr>
        <sz val="10"/>
        <rFont val="Arial"/>
        <family val="2"/>
      </rPr>
      <t xml:space="preserve"> group of pit vipers: New evidence from mitochondrial gene tree. Mol. Phylo. Evol. 16:199-211.</t>
    </r>
  </si>
  <si>
    <r>
      <t>Malone, C. L., T. Wheeler, J. F. Taylor, and S. K. Davis. 2000.  Phylogeopraphy of the Caribbean rock iguana (</t>
    </r>
    <r>
      <rPr>
        <i/>
        <sz val="10"/>
        <rFont val="Arial"/>
        <family val="2"/>
      </rPr>
      <t>Cyclura</t>
    </r>
    <r>
      <rPr>
        <sz val="10"/>
        <rFont val="Arial"/>
        <family val="2"/>
      </rPr>
      <t>): Implications for conservation and insights on the biogeopraphic history of the west Indies. Mol. Phylo. Evol. 17:269-279.</t>
    </r>
  </si>
  <si>
    <r>
      <t xml:space="preserve">Masta, S. E., B. K. Sullivan, T. Lamb, and E. J. Routman. 2002. Molecular systematics, hybridization, and phylogeography of the </t>
    </r>
    <r>
      <rPr>
        <i/>
        <sz val="10"/>
        <rFont val="Arial"/>
        <family val="2"/>
      </rPr>
      <t>Bufo americanus</t>
    </r>
    <r>
      <rPr>
        <sz val="10"/>
        <rFont val="Arial"/>
        <family val="2"/>
      </rPr>
      <t xml:space="preserve"> complex in eastern North America. Mol. Phylo. Evol. 24:302-314.</t>
    </r>
  </si>
  <si>
    <r>
      <t xml:space="preserve">Misof, B., C. L. Anderson, and H. Hadrys. 2000. A phylogeny of damselfly genus </t>
    </r>
    <r>
      <rPr>
        <i/>
        <sz val="10"/>
        <rFont val="Arial"/>
        <family val="2"/>
      </rPr>
      <t>Calopteryx</t>
    </r>
    <r>
      <rPr>
        <sz val="10"/>
        <rFont val="Arial"/>
        <family val="2"/>
      </rPr>
      <t xml:space="preserve"> (Odonata) using mitochondrial 16S rDNA markers. Mol. Phylo. Evol. 15:5-14.</t>
    </r>
  </si>
  <si>
    <r>
      <t xml:space="preserve">Miya, M., and M. Nishida. 1998. Molecular phylogeny and evolution of the deep-sea fish genus </t>
    </r>
    <r>
      <rPr>
        <i/>
        <sz val="10"/>
        <rFont val="Arial"/>
        <family val="2"/>
      </rPr>
      <t>Sternoptyx.</t>
    </r>
    <r>
      <rPr>
        <sz val="10"/>
        <rFont val="Arial"/>
        <family val="2"/>
      </rPr>
      <t xml:space="preserve"> Mol. Phylo. Evol. 10:11-22.</t>
    </r>
  </si>
  <si>
    <r>
      <t xml:space="preserve">Monteiro, A., and N. E. Pierce. 2001. Phylogeny of </t>
    </r>
    <r>
      <rPr>
        <i/>
        <sz val="10"/>
        <rFont val="Arial"/>
        <family val="2"/>
      </rPr>
      <t>Bicyclus</t>
    </r>
    <r>
      <rPr>
        <sz val="10"/>
        <rFont val="Arial"/>
        <family val="2"/>
      </rPr>
      <t xml:space="preserve"> (Lepidoptera:Nympalidae) inferred from COI, COII and EF-1a gene sequence. Mol. Phylo. Evol. 18:264-281.</t>
    </r>
  </si>
  <si>
    <r>
      <t>Moriarty, E. C., and D. C. Cannatella. 2004. Phylogenetic relationships of the North American chorus frogs (</t>
    </r>
    <r>
      <rPr>
        <i/>
        <sz val="10"/>
        <rFont val="Arial"/>
        <family val="2"/>
      </rPr>
      <t>Pseudacris</t>
    </r>
    <r>
      <rPr>
        <sz val="10"/>
        <rFont val="Arial"/>
        <family val="2"/>
      </rPr>
      <t>: Hylidae). Mol. Phylo. Evol. 30:409-420.</t>
    </r>
  </si>
  <si>
    <r>
      <t>Morrison, C. L., R. Rios, and J. E. Duffy. 2004. Phylogenetic evidence for an ancient rapid radiation of Caribbean sponge-dwelling snapping shrimps (</t>
    </r>
    <r>
      <rPr>
        <i/>
        <sz val="10"/>
        <rFont val="Arial"/>
        <family val="2"/>
      </rPr>
      <t>Synalpheus</t>
    </r>
    <r>
      <rPr>
        <sz val="10"/>
        <rFont val="Arial"/>
        <family val="2"/>
      </rPr>
      <t>). Mol. Phylo. Evol. 30:563-581.</t>
    </r>
  </si>
  <si>
    <r>
      <t xml:space="preserve">Murphy, W. J., and G. E. Collier. 1999. Phylogenetic relationship of African Killifishes in the genera </t>
    </r>
    <r>
      <rPr>
        <i/>
        <sz val="10"/>
        <rFont val="Arial"/>
        <family val="2"/>
      </rPr>
      <t>Aphyosemion</t>
    </r>
    <r>
      <rPr>
        <sz val="10"/>
        <rFont val="Arial"/>
        <family val="2"/>
      </rPr>
      <t xml:space="preserve"> and </t>
    </r>
    <r>
      <rPr>
        <i/>
        <sz val="10"/>
        <rFont val="Arial"/>
        <family val="2"/>
      </rPr>
      <t>Fundulopanchax</t>
    </r>
    <r>
      <rPr>
        <sz val="10"/>
        <rFont val="Arial"/>
        <family val="2"/>
      </rPr>
      <t xml:space="preserve"> inferred from mitochondrial DNA sequences. Mol. Phylo. Evol. 11:351-360.</t>
    </r>
  </si>
  <si>
    <r>
      <t>Omland, K .E., S. M. Lanyon, and S. J. Fritz. 1999. A molecular phylogeny of the new world Orioles (</t>
    </r>
    <r>
      <rPr>
        <i/>
        <sz val="10"/>
        <rFont val="Arial"/>
        <family val="2"/>
      </rPr>
      <t>Icterus</t>
    </r>
    <r>
      <rPr>
        <sz val="10"/>
        <rFont val="Arial"/>
        <family val="2"/>
      </rPr>
      <t>): the importance of dense taxon sampling. Mol. Phylo. Evol. 12:224-239.</t>
    </r>
  </si>
  <si>
    <r>
      <t xml:space="preserve">Palma, R. E., E. Rivera-Milla, T. L. Yates, P. A. Marquet, and A. P. Meynard. 2002. Phylogenetic and biogeographic relationships of the mouse opossum </t>
    </r>
    <r>
      <rPr>
        <i/>
        <sz val="10"/>
        <rFont val="Arial"/>
        <family val="2"/>
      </rPr>
      <t>Thylamys</t>
    </r>
    <r>
      <rPr>
        <sz val="10"/>
        <rFont val="Arial"/>
        <family val="2"/>
      </rPr>
      <t xml:space="preserve"> (Didelphimorphia, Didelphidae) in south America. Mol. Phylo. Evol. 25:245-253.</t>
    </r>
  </si>
  <si>
    <r>
      <t xml:space="preserve">Parra-Olea, G. 2002. Molecular phylogenetic relationships of noetropical salamanders of the genus </t>
    </r>
    <r>
      <rPr>
        <i/>
        <sz val="10"/>
        <rFont val="Arial"/>
        <family val="2"/>
      </rPr>
      <t>Pseudoeurycea.</t>
    </r>
    <r>
      <rPr>
        <sz val="10"/>
        <rFont val="Arial"/>
        <family val="2"/>
      </rPr>
      <t xml:space="preserve"> Mol. Phylo. Evol. 22:234-246.</t>
    </r>
  </si>
  <si>
    <r>
      <t xml:space="preserve">Passamoni, M., B. Mantovani, and V. Scali. 2004. Phylogeny and karyotype evolution of the Iberian </t>
    </r>
    <r>
      <rPr>
        <i/>
        <sz val="10"/>
        <rFont val="Arial"/>
        <family val="2"/>
      </rPr>
      <t>Leptynia attenuata</t>
    </r>
    <r>
      <rPr>
        <sz val="10"/>
        <rFont val="Arial"/>
        <family val="2"/>
      </rPr>
      <t xml:space="preserve"> species complex (Insecta Phasmatodea).  Mol. Phylo. Evol. 30: 87-96.</t>
    </r>
  </si>
  <si>
    <r>
      <t xml:space="preserve">Pondella, D. J., M. T. Craig, and J. P. C. Franck. 2003. The phylogeny of </t>
    </r>
    <r>
      <rPr>
        <i/>
        <sz val="10"/>
        <rFont val="Arial"/>
        <family val="2"/>
      </rPr>
      <t>Paralabrax</t>
    </r>
    <r>
      <rPr>
        <sz val="10"/>
        <rFont val="Arial"/>
        <family val="2"/>
      </rPr>
      <t xml:space="preserve"> (Perciformes: Serranidae) and allied taxa inferred from partial 16S and 12S mitochondrial ribosomal DNA sequences. Mol. Phylo. Evol. 29:176-184.</t>
    </r>
  </si>
  <si>
    <r>
      <t xml:space="preserve">Porter, B. A., T. M. Cavender, and P. A. Fuerst. 2002. Molecular pholgeny of the snubnose darters, subgenus </t>
    </r>
    <r>
      <rPr>
        <i/>
        <sz val="10"/>
        <rFont val="Arial"/>
        <family val="2"/>
      </rPr>
      <t>Ulocentra</t>
    </r>
    <r>
      <rPr>
        <sz val="10"/>
        <rFont val="Arial"/>
        <family val="2"/>
      </rPr>
      <t xml:space="preserve"> (genus Etheostoma, family Percidae). Mol. Phylo. Evol. 22:364-374.</t>
    </r>
  </si>
  <si>
    <r>
      <t xml:space="preserve">Randi, E. 1996. A mitochondrial cytochrome B phylogeny of the </t>
    </r>
    <r>
      <rPr>
        <i/>
        <sz val="10"/>
        <rFont val="Arial"/>
        <family val="2"/>
      </rPr>
      <t>Alectoris</t>
    </r>
    <r>
      <rPr>
        <sz val="10"/>
        <rFont val="Arial"/>
        <family val="2"/>
      </rPr>
      <t xml:space="preserve"> partridges. Mol. Phylo. Evol. 6:214-227.</t>
    </r>
  </si>
  <si>
    <r>
      <t xml:space="preserve">Randi, E., V. Lucchini, A. Hennache, R. T. Kimball, E. L. Braun, and D. Ligon. 2001. Evolution of the mitochondrial DNA control region and cytochrome b genes and the inference of phylogenetic relationships in Avian genus </t>
    </r>
    <r>
      <rPr>
        <i/>
        <sz val="10"/>
        <rFont val="Arial"/>
        <family val="2"/>
      </rPr>
      <t>Lophura</t>
    </r>
    <r>
      <rPr>
        <sz val="10"/>
        <rFont val="Arial"/>
        <family val="2"/>
      </rPr>
      <t xml:space="preserve"> (Galliformes). Mol. Phylo. Evol. 19:187-201.</t>
    </r>
  </si>
  <si>
    <r>
      <t xml:space="preserve">Reed, D. L., M. J. deGravelle, and K. E. Carpenter. 2001. Molecular systematics of </t>
    </r>
    <r>
      <rPr>
        <i/>
        <sz val="10"/>
        <rFont val="Arial"/>
        <family val="2"/>
      </rPr>
      <t>Selene</t>
    </r>
    <r>
      <rPr>
        <sz val="10"/>
        <rFont val="Arial"/>
        <family val="2"/>
      </rPr>
      <t xml:space="preserve"> (Perciformes: Carangidae) based on cytochrome b sequences.  Mol. Phylo. Evol. 21:468-475.</t>
    </r>
  </si>
  <si>
    <r>
      <t>Ribas, C. C., and C. Y. Miyaki. 2004. Molecular systematics in Aratinga paraleets: species limits and historical biogeography in the '</t>
    </r>
    <r>
      <rPr>
        <i/>
        <sz val="10"/>
        <rFont val="Arial"/>
        <family val="2"/>
      </rPr>
      <t>solstitialis</t>
    </r>
    <r>
      <rPr>
        <sz val="10"/>
        <rFont val="Arial"/>
        <family val="2"/>
      </rPr>
      <t xml:space="preserve">' group, and the systematic position of the </t>
    </r>
    <r>
      <rPr>
        <i/>
        <sz val="10"/>
        <rFont val="Arial"/>
        <family val="2"/>
      </rPr>
      <t>Nandayus nenday</t>
    </r>
    <r>
      <rPr>
        <sz val="10"/>
        <rFont val="Arial"/>
        <family val="2"/>
      </rPr>
      <t>. Mol. Phylo. Evol. 30:663-675.</t>
    </r>
  </si>
  <si>
    <r>
      <t xml:space="preserve">Rocha-Olivares, A., R. H. Rosenblatt, and R. D. Vetter. 1999. Molecular evolution, systematics, and zoogeography of the rockfish subgenus </t>
    </r>
    <r>
      <rPr>
        <i/>
        <sz val="10"/>
        <rFont val="Arial"/>
        <family val="2"/>
      </rPr>
      <t>Sebastomus</t>
    </r>
    <r>
      <rPr>
        <sz val="10"/>
        <rFont val="Arial"/>
        <family val="2"/>
      </rPr>
      <t xml:space="preserve"> (</t>
    </r>
    <r>
      <rPr>
        <i/>
        <sz val="10"/>
        <rFont val="Arial"/>
        <family val="2"/>
      </rPr>
      <t>Sebastes</t>
    </r>
    <r>
      <rPr>
        <sz val="10"/>
        <rFont val="Arial"/>
        <family val="2"/>
      </rPr>
      <t>, Scorpaenidae) based on mitochondrial cytochrome b and control region sequences. Mol. Phylo. Evol. 11:441-458.</t>
    </r>
  </si>
  <si>
    <r>
      <t xml:space="preserve">Rubinoff, D. and F. A.H. Sperling. 2002. Evolution of ecological traits and wing morphology in </t>
    </r>
    <r>
      <rPr>
        <i/>
        <sz val="10"/>
        <rFont val="Arial"/>
        <family val="2"/>
      </rPr>
      <t>Hemileuca</t>
    </r>
    <r>
      <rPr>
        <sz val="10"/>
        <rFont val="Arial"/>
        <family val="2"/>
      </rPr>
      <t xml:space="preserve"> (Saturniidae) based on a two-gene phylogeny. Mol. Phylo. Evol. 25:70-86.</t>
    </r>
  </si>
  <si>
    <r>
      <t xml:space="preserve">Russello, M. A., and G. Amato. 2004. A molecular phylogeny of </t>
    </r>
    <r>
      <rPr>
        <i/>
        <sz val="10"/>
        <rFont val="Arial"/>
        <family val="2"/>
      </rPr>
      <t>Amazona</t>
    </r>
    <r>
      <rPr>
        <sz val="10"/>
        <rFont val="Arial"/>
        <family val="2"/>
      </rPr>
      <t>: implications for neotropical parrot biogeography, taxonomy, and consercation. Mol. Phylo. Evol. 30:421-437.</t>
    </r>
  </si>
  <si>
    <r>
      <t xml:space="preserve">Salazar-Bravo, J., J. W. Dagoon, D. S. Tinnin, and T. L. Yates. 2001. Phylogeny and evolution of the neotropical rodent genus </t>
    </r>
    <r>
      <rPr>
        <i/>
        <sz val="10"/>
        <rFont val="Arial"/>
        <family val="2"/>
      </rPr>
      <t>Calomys</t>
    </r>
    <r>
      <rPr>
        <sz val="10"/>
        <rFont val="Arial"/>
        <family val="2"/>
      </rPr>
      <t>: Inferences from mitochondrial DNA sequence data. Mol. Phylo. Evol. 20:173-184.</t>
    </r>
  </si>
  <si>
    <r>
      <t xml:space="preserve">Schauble, C. S., C. Mortiz, and R. W. Slade. 2000. A molecular phylogeny for the frog genus </t>
    </r>
    <r>
      <rPr>
        <i/>
        <sz val="10"/>
        <rFont val="Arial"/>
        <family val="2"/>
      </rPr>
      <t>Limnodynastes</t>
    </r>
    <r>
      <rPr>
        <sz val="10"/>
        <rFont val="Arial"/>
        <family val="2"/>
      </rPr>
      <t xml:space="preserve"> (Anura: Myobatrachidae). Mol. Phylo. Evol. 16:379-391.</t>
    </r>
  </si>
  <si>
    <r>
      <t>Scott, I. A.W., J. S. Keogh, and M. J. Whiting. 2004. Shifting sands and shifty lizards:molecular phylogeny and biogeography of African flat lizards (</t>
    </r>
    <r>
      <rPr>
        <i/>
        <sz val="10"/>
        <rFont val="Arial"/>
        <family val="2"/>
      </rPr>
      <t>Platysaurus</t>
    </r>
    <r>
      <rPr>
        <sz val="10"/>
        <rFont val="Arial"/>
        <family val="2"/>
      </rPr>
      <t>). Mol. Phylo. Evol. 31:618-629.</t>
    </r>
  </si>
  <si>
    <r>
      <t xml:space="preserve">Serb, J. M., J. E. Buhay, and C. Lydeard. 2003. Molecular systematics of the north American freshwater bivalve genus </t>
    </r>
    <r>
      <rPr>
        <i/>
        <sz val="10"/>
        <rFont val="Arial"/>
        <family val="2"/>
      </rPr>
      <t>Quadrula</t>
    </r>
    <r>
      <rPr>
        <sz val="10"/>
        <rFont val="Arial"/>
        <family val="2"/>
      </rPr>
      <t xml:space="preserve"> (Unionidae: Ambleminae) based on mitochondrial ND1 sequences. Mol. Phylo. Evol. 28:1-11.</t>
    </r>
  </si>
  <si>
    <r>
      <t xml:space="preserve">Sipes, S. D., and P. G. Wolf. 2001. Phylogenetic relationships within </t>
    </r>
    <r>
      <rPr>
        <i/>
        <sz val="10"/>
        <rFont val="Arial"/>
        <family val="2"/>
      </rPr>
      <t>Diadasia,</t>
    </r>
    <r>
      <rPr>
        <sz val="10"/>
        <rFont val="Arial"/>
        <family val="2"/>
      </rPr>
      <t xml:space="preserve"> a group of specialist bees. Mol. Phylo. Evol. 19:144-156.</t>
    </r>
  </si>
  <si>
    <r>
      <t xml:space="preserve">Stone, K. D., and J. A. Cook. 2002. Molecular evolution of Holarctic martens (genus </t>
    </r>
    <r>
      <rPr>
        <i/>
        <sz val="10"/>
        <rFont val="Arial"/>
        <family val="2"/>
      </rPr>
      <t>Martes,</t>
    </r>
    <r>
      <rPr>
        <sz val="10"/>
        <rFont val="Arial"/>
        <family val="2"/>
      </rPr>
      <t xml:space="preserve"> Mammalia: Carnivora: Mustelidae). Mol. Phylo. Evol. 24:169-179.</t>
    </r>
  </si>
  <si>
    <r>
      <t xml:space="preserve">Voelker, G. 1999. Molecular evolutionary relationships in the Avian genus </t>
    </r>
    <r>
      <rPr>
        <i/>
        <sz val="10"/>
        <rFont val="Arial"/>
        <family val="2"/>
      </rPr>
      <t>Anthus</t>
    </r>
    <r>
      <rPr>
        <sz val="10"/>
        <rFont val="Arial"/>
        <family val="2"/>
      </rPr>
      <t xml:space="preserve"> (Pipits: Motacillidae). Mol. Phylo. Evol. 11:84-94.</t>
    </r>
  </si>
  <si>
    <r>
      <t xml:space="preserve">Vink, C. J., and A. M. Paterson. 2003. Combined molecular and morphological phylogenetic analyses of the New Zealand wolf spider genus </t>
    </r>
    <r>
      <rPr>
        <i/>
        <sz val="10"/>
        <rFont val="Arial"/>
        <family val="2"/>
      </rPr>
      <t>Anoteropsis</t>
    </r>
    <r>
      <rPr>
        <sz val="10"/>
        <rFont val="Arial"/>
        <family val="2"/>
      </rPr>
      <t xml:space="preserve"> (Araneae: Lycosidae). Mol. Phylo. Evol. 28:576-587.</t>
    </r>
  </si>
  <si>
    <r>
      <t xml:space="preserve">Wares, J. P. 2001. Patterns of speciation inferred from mitochondrial DNA in north Ameican </t>
    </r>
    <r>
      <rPr>
        <i/>
        <sz val="10"/>
        <rFont val="Arial"/>
        <family val="2"/>
      </rPr>
      <t>Chthamalus</t>
    </r>
    <r>
      <rPr>
        <sz val="10"/>
        <rFont val="Arial"/>
        <family val="2"/>
      </rPr>
      <t xml:space="preserve"> (Cirripedia: Balanomorpha: Chthamaloidea).  Mol. Phylo. Evol. 18: 104-116.</t>
    </r>
  </si>
  <si>
    <r>
      <t xml:space="preserve">Weibel, A. C., and W. S. Moore. 2002. Molecular phylogeny of a cosmopolitan group of woodpeckers (genus </t>
    </r>
    <r>
      <rPr>
        <i/>
        <sz val="10"/>
        <rFont val="Arial"/>
        <family val="2"/>
      </rPr>
      <t>Picoides</t>
    </r>
    <r>
      <rPr>
        <sz val="10"/>
        <rFont val="Arial"/>
        <family val="2"/>
      </rPr>
      <t>) based on COI and cyt b mitochondrial gene sequences. Molecular Phylogenetics and Evolution 22:65-75.</t>
    </r>
  </si>
  <si>
    <r>
      <t xml:space="preserve">Whittingham, L. A., B . Silkas, D. W. Winkler, and F. H. Sheldon.  2002. Phylogeny of the tree swallow genus, </t>
    </r>
    <r>
      <rPr>
        <i/>
        <sz val="10"/>
        <rFont val="Arial"/>
        <family val="2"/>
      </rPr>
      <t>Tachycineta</t>
    </r>
    <r>
      <rPr>
        <sz val="10"/>
        <rFont val="Arial"/>
        <family val="2"/>
      </rPr>
      <t xml:space="preserve"> (Aves: Hirundinidae), by Bayesian analysis of mitochondrial DNA sequences. Mol. Phylo. Evol. 22:430-441.</t>
    </r>
  </si>
  <si>
    <r>
      <t xml:space="preserve">Yamaguchi, M., M. Miya, M. Okiyama, and M. Nishida. 2000. Molecular phylogeny and larcal morphological diversity of the Lanternfish genus </t>
    </r>
    <r>
      <rPr>
        <i/>
        <sz val="10"/>
        <rFont val="Arial"/>
        <family val="2"/>
      </rPr>
      <t>Hygophum</t>
    </r>
    <r>
      <rPr>
        <sz val="10"/>
        <rFont val="Arial"/>
        <family val="2"/>
      </rPr>
      <t xml:space="preserve"> (Teleostei: Myctohidae). Mol. Phylo. Evol. 15:103-114.</t>
    </r>
  </si>
  <si>
    <r>
      <t xml:space="preserve">Ye, W., C. -Y. Lee, R. H. Scheffrahn, J. M. Aleong, N. -Y. Su, G. W. Bennett, and M. E. Scharf. 2004. Phylogenetic relationships of neararctic </t>
    </r>
    <r>
      <rPr>
        <i/>
        <sz val="10"/>
        <rFont val="Arial"/>
        <family val="2"/>
      </rPr>
      <t>Reticulitermes</t>
    </r>
    <r>
      <rPr>
        <sz val="10"/>
        <rFont val="Arial"/>
        <family val="2"/>
      </rPr>
      <t xml:space="preserve"> species (Isoptera: Rhinotermitidae) with particular reference to </t>
    </r>
    <r>
      <rPr>
        <i/>
        <sz val="10"/>
        <rFont val="Arial"/>
        <family val="2"/>
      </rPr>
      <t>Reticulitermes arenincola</t>
    </r>
    <r>
      <rPr>
        <sz val="10"/>
        <rFont val="Arial"/>
        <family val="2"/>
      </rPr>
      <t xml:space="preserve"> Goellner.  Mol. Phylo. Evol. 30:815-822.</t>
    </r>
  </si>
  <si>
    <r>
      <t xml:space="preserve">Yokoyama, J., M. Suzuki, K. Iwatsuki, and M. Hasebes. 2000. Molecular phylogeny of </t>
    </r>
    <r>
      <rPr>
        <i/>
        <sz val="10"/>
        <rFont val="Arial"/>
        <family val="2"/>
      </rPr>
      <t>Coriaria,</t>
    </r>
    <r>
      <rPr>
        <sz val="10"/>
        <rFont val="Arial"/>
        <family val="2"/>
      </rPr>
      <t xml:space="preserve"> with special emphasis on the disjunct distribution.  Mol. Phylo. Evol. 14:11-19.</t>
    </r>
  </si>
  <si>
    <r>
      <t xml:space="preserve">Yu, H., W. Wang, S. Fang, Y. -P. Zhang, F. -J. Lin, and Z. -C. Geng. 1999. Phylogeny and Evolution of the </t>
    </r>
    <r>
      <rPr>
        <i/>
        <sz val="10"/>
        <rFont val="Arial"/>
        <family val="2"/>
      </rPr>
      <t xml:space="preserve">Drosophila nasuta </t>
    </r>
    <r>
      <rPr>
        <sz val="10"/>
        <rFont val="Arial"/>
        <family val="2"/>
      </rPr>
      <t xml:space="preserve">subgroup based on mitochondrial ND4 and ND4L gene sequences.  Mol. Phylo. Evol. 13:556-565. </t>
    </r>
  </si>
  <si>
    <r>
      <t>Yu, N., C. Zheng, Y. -P. Zhang, and W. -H. Li.  2000. Molecular systematics of Pikas (genus</t>
    </r>
    <r>
      <rPr>
        <i/>
        <sz val="10"/>
        <rFont val="Arial"/>
        <family val="2"/>
      </rPr>
      <t xml:space="preserve"> Ochotona</t>
    </r>
    <r>
      <rPr>
        <sz val="10"/>
        <rFont val="Arial"/>
        <family val="2"/>
      </rPr>
      <t>) inferred from mitochondrial DNA sequences. Mol. Phylo. Evol. 16:85-95.</t>
    </r>
  </si>
  <si>
    <r>
      <t xml:space="preserve">Taylor, D. J., P. D. M. Hebert, and J. K. Colbourne. 1996. Phylogenetics and evolution of the </t>
    </r>
    <r>
      <rPr>
        <i/>
        <sz val="10"/>
        <rFont val="Arial"/>
        <family val="2"/>
      </rPr>
      <t>Daphnia longispina</t>
    </r>
    <r>
      <rPr>
        <sz val="10"/>
        <rFont val="Arial"/>
        <family val="2"/>
      </rPr>
      <t xml:space="preserve"> group (Crustacea) based on 12S rDNA sequence and allozyme variation. Mol. Phylo. Evol. 5:495-510.</t>
    </r>
  </si>
  <si>
    <r>
      <t xml:space="preserve">Degan, P. H., A. B. Lazarus, C. D. Brock, and J. J. Wernegreen. 2004. Host-symboint stability and fast evolutionary rates in an Ant-bacterium association: Cospeciation of </t>
    </r>
    <r>
      <rPr>
        <i/>
        <sz val="10"/>
        <rFont val="Arial"/>
        <family val="2"/>
      </rPr>
      <t>Camponotus</t>
    </r>
    <r>
      <rPr>
        <sz val="10"/>
        <rFont val="Arial"/>
        <family val="2"/>
      </rPr>
      <t xml:space="preserve"> species and their endosymboints, </t>
    </r>
    <r>
      <rPr>
        <i/>
        <sz val="10"/>
        <rFont val="Arial"/>
        <family val="2"/>
      </rPr>
      <t>Candidatus blochmannia</t>
    </r>
    <r>
      <rPr>
        <sz val="10"/>
        <rFont val="Arial"/>
        <family val="2"/>
      </rPr>
      <t>. Syst. Biol. 53:95-110.</t>
    </r>
  </si>
  <si>
    <t>Evans, B. J., R. M. Brown, J. A. McGuire, J. Supriatna, N. Andayani, A. Diesmos, D. Iskandar, D. J. Melnick, and D. C. Cannatella. 2003. Phylogenetics of fanged frogs: Testing biogeographical hypotheses at the interface of the Asian and Australian faunal zones. Syst. Biol. 52: 794-819.</t>
  </si>
  <si>
    <t>Sasaki, T., M. Nikaido, H. Hamilton, M. Goto, H. Kato, M. Kanda, L. A. Pastene, Y. Cao, R. E. Fordyce, M. Hasegawa and N. Okada. 2005. Mitochondrial phylogenetics and evolution of mysticete whales. Syst. Biol. 54:77-90.</t>
  </si>
  <si>
    <t>Perez-Losada, M., G. Bond-Buckup, C. G. Jara, and K. A. Crandall. 2004. Molecular systematics and biogeography of the southern south American freshwater "crabs" Aegla (Decapoda: Anomura: Aeglidae) using multiple heuristic tree search approaches. Syst. Biol. 53:767-780.</t>
  </si>
  <si>
    <t>Jennings, W. B., E. R. Pianka, and S. Donnellan. 2003. Systematics of the lizard family Pyropodidae with implications for the diversification of the Australian temperate biotas. Syst. Biol. 52:757-780.</t>
  </si>
  <si>
    <r>
      <t xml:space="preserve">Cunha, R. L., R. Castilho, L. Ruber, and R. Zardoya. 2005. Patterns of cladogenesis in the venomous marine gastropod genus </t>
    </r>
    <r>
      <rPr>
        <i/>
        <sz val="10"/>
        <rFont val="Arial"/>
        <family val="2"/>
      </rPr>
      <t>Conus</t>
    </r>
    <r>
      <rPr>
        <sz val="10"/>
        <rFont val="Arial"/>
        <family val="2"/>
      </rPr>
      <t xml:space="preserve"> from the Cape Verde Islands.  Syst. Biol. 54:634-650.</t>
    </r>
  </si>
  <si>
    <r>
      <t xml:space="preserve">Vogler, A. P., A. Cardoso, and T. G. Barraclough. 2005. Exploring rate variation among and within sites in a densly sampled tree: Species level phylogenies of North American tiger beetles (genus </t>
    </r>
    <r>
      <rPr>
        <i/>
        <sz val="10"/>
        <rFont val="Arial"/>
        <family val="2"/>
      </rPr>
      <t>Cicindela</t>
    </r>
    <r>
      <rPr>
        <sz val="10"/>
        <rFont val="Arial"/>
        <family val="2"/>
      </rPr>
      <t>). Syst. Biol. 54:4-20.</t>
    </r>
  </si>
  <si>
    <r>
      <t xml:space="preserve">Jordal, B. H., and G. M. Hewitt. 2004. The origin and radiation of Macaronesian bettles breeding in </t>
    </r>
    <r>
      <rPr>
        <i/>
        <sz val="10"/>
        <rFont val="Arial"/>
        <family val="2"/>
      </rPr>
      <t>Euphorbia</t>
    </r>
    <r>
      <rPr>
        <sz val="10"/>
        <rFont val="Arial"/>
        <family val="2"/>
      </rPr>
      <t>: The relative importance of multiple data partitions and population sampling. Syst. Biol. 53:711-734.</t>
    </r>
  </si>
  <si>
    <r>
      <t xml:space="preserve">Nepokroeff, M., K. J. Sytsma, W. L. Wagner, and E. A. Zimmer. 2003. Reconstructing ancestral patterns of colonization and dispersal in the Hawaiian understory tree genus </t>
    </r>
    <r>
      <rPr>
        <i/>
        <sz val="10"/>
        <rFont val="Arial"/>
        <family val="2"/>
      </rPr>
      <t>Psychotria</t>
    </r>
    <r>
      <rPr>
        <sz val="10"/>
        <rFont val="Arial"/>
        <family val="2"/>
      </rPr>
      <t xml:space="preserve"> (Rubiaceae):a comparison of parsimony and likelihood approaches. Syst. Biol. 52:820-838.</t>
    </r>
  </si>
  <si>
    <t>Yang, Z., and A. D. Yoder.  2003. Comparison of likelihood and Bayesian methods for estimating divergence times using multiple gene loci and calibration points, with application to a radiation of cute-looking mouse lemur species.  Syst. Biol. 52:705-716.</t>
  </si>
  <si>
    <r>
      <t xml:space="preserve">Jordan, S., C. Simon, and D. Polhemus. 2003. Molecular systematics and adaptive radiation of Hawaii's endemic damselfly genus </t>
    </r>
    <r>
      <rPr>
        <i/>
        <sz val="10"/>
        <rFont val="Arial"/>
        <family val="2"/>
      </rPr>
      <t>Megalagrion</t>
    </r>
    <r>
      <rPr>
        <sz val="10"/>
        <rFont val="Arial"/>
        <family val="2"/>
      </rPr>
      <t xml:space="preserve"> (Odonata: Coenagrionidae). Syst. Biol. 52:89-109.</t>
    </r>
  </si>
  <si>
    <r>
      <t xml:space="preserve">Hormiga, G., M. Arnedo, and R. G. Gillespie. 2003. Speciation on a conveyor belt: Sequential colonization of the Hawaiian islands by </t>
    </r>
    <r>
      <rPr>
        <i/>
        <sz val="10"/>
        <rFont val="Arial"/>
        <family val="2"/>
      </rPr>
      <t>Orsonwelles</t>
    </r>
    <r>
      <rPr>
        <sz val="10"/>
        <rFont val="Arial"/>
        <family val="2"/>
      </rPr>
      <t xml:space="preserve"> spiders( Araneae, Linyphiidae). Syst. Biol. 52:70-88.</t>
    </r>
  </si>
  <si>
    <t>Gaubert, P., C. A. Fernandes, M. W. Bruford, and G. Veron. 2004. Genets (Carnivora, Viverridae) in Africa: an evolutionary synthesis based on cytochrome b sequences and morphological characters. Biol. J. Linn. Soc. 81:589-610.</t>
  </si>
  <si>
    <r>
      <t>Packert, M., J. Martens, S. Eck, A. A. Nazarenko, O. P. Valchuk, B. Petri, and M. Veith. 2005. The great tit (</t>
    </r>
    <r>
      <rPr>
        <i/>
        <sz val="10"/>
        <rFont val="Arial"/>
        <family val="2"/>
      </rPr>
      <t>Parus major</t>
    </r>
    <r>
      <rPr>
        <sz val="10"/>
        <rFont val="Arial"/>
        <family val="2"/>
      </rPr>
      <t>)-a misclassified ring species.  Biol. J. Linn. Soc. 83:153-174.</t>
    </r>
  </si>
  <si>
    <r>
      <t xml:space="preserve">Von Rintelen, T., and M. Glaubrecht. 2005. Anatomy of an adaptive radiation: a unique reproductive strategy in the endemic freshwater gastropod </t>
    </r>
    <r>
      <rPr>
        <i/>
        <sz val="10"/>
        <rFont val="Arial"/>
        <family val="2"/>
      </rPr>
      <t>Tylomelania</t>
    </r>
    <r>
      <rPr>
        <sz val="10"/>
        <rFont val="Arial"/>
        <family val="2"/>
      </rPr>
      <t xml:space="preserve"> (Cerithioidea: Pachychilidae) on Sulawesi, Indonesia and its biogeographical implications.  Biol. J. Linn. Soc. 85:513-542.</t>
    </r>
  </si>
  <si>
    <r>
      <t>Warren, B. H., E. Bermingham, R. P. Prys-Jones, and C. Thebaud. 2005. Tracking island colonization history and phenotypic shifts in Indian ocean bulbuls (</t>
    </r>
    <r>
      <rPr>
        <i/>
        <sz val="10"/>
        <rFont val="Arial"/>
        <family val="2"/>
      </rPr>
      <t>Hysipetes</t>
    </r>
    <r>
      <rPr>
        <sz val="10"/>
        <rFont val="Arial"/>
        <family val="2"/>
      </rPr>
      <t>: Pycnonotidae). Biol. J. Linn. Soc. 85:271-287.</t>
    </r>
  </si>
  <si>
    <r>
      <t xml:space="preserve">Amer, S. A. M., and Y. Kumazawa. 2005. Mitochondrial DNA sequences of the Afro-Arabian spiny-tailed lizards (genus </t>
    </r>
    <r>
      <rPr>
        <i/>
        <sz val="10"/>
        <rFont val="Arial"/>
        <family val="2"/>
      </rPr>
      <t>Uromastyx</t>
    </r>
    <r>
      <rPr>
        <sz val="10"/>
        <rFont val="Arial"/>
        <family val="2"/>
      </rPr>
      <t>; family Agamidae): phylogenetic analyses and evolution of gene arrangements. Biol. J. Linn. Soc. 85:247-260.</t>
    </r>
  </si>
  <si>
    <r>
      <t xml:space="preserve">Tucker, P. K., S. A. Sandstedt, and B. L. Lundrigan. 2005. Phylogenetic relationships in the subgenus </t>
    </r>
    <r>
      <rPr>
        <i/>
        <sz val="10"/>
        <rFont val="Arial"/>
        <family val="2"/>
      </rPr>
      <t>Mus</t>
    </r>
    <r>
      <rPr>
        <sz val="10"/>
        <rFont val="Arial"/>
        <family val="2"/>
      </rPr>
      <t xml:space="preserve"> (genus </t>
    </r>
    <r>
      <rPr>
        <i/>
        <sz val="10"/>
        <rFont val="Arial"/>
        <family val="2"/>
      </rPr>
      <t>Mus</t>
    </r>
    <r>
      <rPr>
        <sz val="10"/>
        <rFont val="Arial"/>
        <family val="2"/>
      </rPr>
      <t>, family Muridae, subfamily Murinae): examining gene trees and species trees.  Biol. J. Linn. Soc. 84:653-662.</t>
    </r>
  </si>
  <si>
    <r>
      <t xml:space="preserve">Lavrenchenko, L. A., E. Verheyen, S. G. Potapove,  V. S. Lebedev, N. SH. Bulatova, V. M. Aniskin, W. N. Verheyen, and A. P. Ryskov. 2004. Divergent and reticulate processes in evolution of Ethiopian </t>
    </r>
    <r>
      <rPr>
        <i/>
        <sz val="10"/>
        <rFont val="Arial"/>
        <family val="2"/>
      </rPr>
      <t>Lophuromys flavopunctatus</t>
    </r>
    <r>
      <rPr>
        <sz val="10"/>
        <rFont val="Arial"/>
        <family val="2"/>
      </rPr>
      <t xml:space="preserve"> species complex: evidence from mitochondrial and nuclear DNA differentiation patterns. Biol. J. Linn. Soc. 83:301-316.</t>
    </r>
  </si>
  <si>
    <r>
      <t xml:space="preserve">Chapple, D. G., and J. S. Keogh. 2004. Parallel adaptive radiations in arid and temperate Australia: molecular phylogeography and systematics of the </t>
    </r>
    <r>
      <rPr>
        <i/>
        <sz val="10"/>
        <rFont val="Arial"/>
        <family val="2"/>
      </rPr>
      <t>Egernia whitii,</t>
    </r>
    <r>
      <rPr>
        <sz val="10"/>
        <rFont val="Arial"/>
        <family val="2"/>
      </rPr>
      <t xml:space="preserve"> (Lacertilia: Scincidae) species group. Biol. J. Linn. Soc. 83:157-173.</t>
    </r>
  </si>
  <si>
    <r>
      <t xml:space="preserve">Parra-Olea, G., M. Garcia-Paris, and D. B. Wake. 2004.  Molecular diversification of salamanders of the tropical American genus </t>
    </r>
    <r>
      <rPr>
        <i/>
        <sz val="10"/>
        <rFont val="Arial"/>
        <family val="2"/>
      </rPr>
      <t>Bolitoglossa</t>
    </r>
    <r>
      <rPr>
        <sz val="10"/>
        <rFont val="Arial"/>
        <family val="2"/>
      </rPr>
      <t xml:space="preserve"> (Caudata: Plethodontidae) and its evolutionary and biogeographical implications. Biol. J. Linn. Soc. 81:325-346.</t>
    </r>
  </si>
  <si>
    <r>
      <t xml:space="preserve">Steppan, S. J., C. Zawadzki, and L. R. Heaney. 2003. Molecular phylogeny of the endemic Philippine rodent </t>
    </r>
    <r>
      <rPr>
        <i/>
        <sz val="10"/>
        <rFont val="Arial"/>
        <family val="2"/>
      </rPr>
      <t>Apomys</t>
    </r>
    <r>
      <rPr>
        <sz val="10"/>
        <rFont val="Arial"/>
        <family val="2"/>
      </rPr>
      <t xml:space="preserve"> (Muridae) and the dynamics of diversification in an oceanic archipelago. Biol. J. Linn. Soc. 80:699-715.</t>
    </r>
  </si>
  <si>
    <r>
      <t>Suzuki, H., J. J. Sato, K. Tsuchiya, J. Luo, Y. -P. Zhang, Y. -X. Wang, and X. -L. Jiang. 2003. Molecular phylogeny of wood mice (</t>
    </r>
    <r>
      <rPr>
        <i/>
        <sz val="10"/>
        <rFont val="Arial"/>
        <family val="2"/>
      </rPr>
      <t>Apodemus</t>
    </r>
    <r>
      <rPr>
        <sz val="10"/>
        <rFont val="Arial"/>
        <family val="2"/>
      </rPr>
      <t>, Muridae) in east Asia. Biol. J. Linn. Soc. 80:469-481.</t>
    </r>
  </si>
  <si>
    <r>
      <t xml:space="preserve">Tsigenopoulos, C. S., J. D. Durand, E. Unlu, and P. Berrebi. 2003. Rapid radiation of the Mediterranean </t>
    </r>
    <r>
      <rPr>
        <i/>
        <sz val="10"/>
        <rFont val="Arial"/>
        <family val="2"/>
      </rPr>
      <t>Luciobarbus</t>
    </r>
    <r>
      <rPr>
        <sz val="10"/>
        <rFont val="Arial"/>
        <family val="2"/>
      </rPr>
      <t xml:space="preserve"> species (Cyprinidae) after the Messinian salinity crisis of the Mediterranean sea, inferred from mitochondrial phylogentic analysis.  Biol. J. Linn. Soc., 80:207-222.</t>
    </r>
  </si>
  <si>
    <r>
      <t xml:space="preserve">Garcia, G., F. Alvarez-Valin, and N. Gomez. 2002. Mitochondrial genes: signal and noise in the phylogenetic reconstruction of the annuall killfish genus </t>
    </r>
    <r>
      <rPr>
        <i/>
        <sz val="10"/>
        <rFont val="Arial"/>
        <family val="2"/>
      </rPr>
      <t>Cynolebias</t>
    </r>
    <r>
      <rPr>
        <sz val="10"/>
        <rFont val="Arial"/>
        <family val="2"/>
      </rPr>
      <t xml:space="preserve"> (Cyprinodontiformes, Ricuildae). Biol. J. Linn. Soc. 76:49-59.</t>
    </r>
  </si>
  <si>
    <r>
      <t xml:space="preserve">Ota, H., M. Honda, S. -L. Chen, T. Hikida, S. Panha, H. -S. Oh, and M. Matsui. 2002. Phylogenetic relationships, taxonomy, character evolution and biogeography of the lacertid lizards of the genus </t>
    </r>
    <r>
      <rPr>
        <i/>
        <sz val="10"/>
        <rFont val="Arial"/>
        <family val="2"/>
      </rPr>
      <t>Takydromus</t>
    </r>
    <r>
      <rPr>
        <sz val="10"/>
        <rFont val="Arial"/>
        <family val="2"/>
      </rPr>
      <t xml:space="preserve"> (Reptilia: Squamata): a molecular perspective. Biol. J. Linn. Soc. 76:493-509.</t>
    </r>
  </si>
  <si>
    <r>
      <t xml:space="preserve">Remigio, E. A., P. D. N. Hebert and A. Savage. 2001. Phylogenetic relationships and remarkable radiation in </t>
    </r>
    <r>
      <rPr>
        <i/>
        <sz val="10"/>
        <rFont val="Arial"/>
        <family val="2"/>
      </rPr>
      <t>Parartemia</t>
    </r>
    <r>
      <rPr>
        <sz val="10"/>
        <rFont val="Arial"/>
        <family val="2"/>
      </rPr>
      <t xml:space="preserve"> (Crustacea: Anostraca), the endemic brine shrimp of Australia: evidence from mitochondrial DNA sequence. Biol. J. Linn. Soc. 74:59-71.</t>
    </r>
  </si>
  <si>
    <r>
      <t xml:space="preserve">Kimball, R. T., E. L. Braun, J. D. Ligon, V. Lucchini, and E. Randi. 2001. A molecular phylogeny of the peacock-pheasants (Galliformes: </t>
    </r>
    <r>
      <rPr>
        <i/>
        <sz val="10"/>
        <rFont val="Arial"/>
        <family val="2"/>
      </rPr>
      <t>Polyplectron</t>
    </r>
    <r>
      <rPr>
        <sz val="10"/>
        <rFont val="Arial"/>
        <family val="2"/>
      </rPr>
      <t xml:space="preserve"> spp.) indicates loss and reduction of ornimental traits and display behaviours. Biol. J. Linn. Soc. 73:187-198.</t>
    </r>
  </si>
  <si>
    <r>
      <t xml:space="preserve">Goodacre, S. L., and C. M. Wade. 2001. Patterns of genetic variation in Pacific island land snails: the disribution of cytochrome b lineages among Society Island </t>
    </r>
    <r>
      <rPr>
        <i/>
        <sz val="10"/>
        <rFont val="Arial"/>
        <family val="2"/>
      </rPr>
      <t>Partula</t>
    </r>
    <r>
      <rPr>
        <sz val="10"/>
        <rFont val="Arial"/>
        <family val="2"/>
      </rPr>
      <t>. Biol. J. Linn. Soc. 73:131-138.</t>
    </r>
  </si>
  <si>
    <r>
      <t xml:space="preserve">Mascheretti, S., and P. M. Mirol. 2000. Phylogenetics of the speciose and chromosomally variable rodent genus </t>
    </r>
    <r>
      <rPr>
        <i/>
        <sz val="10"/>
        <rFont val="Arial"/>
        <family val="2"/>
      </rPr>
      <t>Ctenomys</t>
    </r>
    <r>
      <rPr>
        <sz val="10"/>
        <rFont val="Arial"/>
        <family val="2"/>
      </rPr>
      <t xml:space="preserve"> (Ctenomyidae, Octodontoidea), based on mitochondrial cytochrome b sequences. Biol. J. Linn. Soc. 70: 361-376.</t>
    </r>
  </si>
  <si>
    <r>
      <t xml:space="preserve">Spicer, G. S., and C. D. Bell. 2002. Molecular phylogeny of the </t>
    </r>
    <r>
      <rPr>
        <i/>
        <sz val="10"/>
        <rFont val="Arial"/>
        <family val="2"/>
      </rPr>
      <t>Drosophila virilis</t>
    </r>
    <r>
      <rPr>
        <sz val="10"/>
        <rFont val="Arial"/>
        <family val="2"/>
      </rPr>
      <t xml:space="preserve"> species group (Diptera:Drosophilidae) inferred from Mitochondrial 12S and 16S ribosomal RNA genes. Systematics 95:156-161.</t>
    </r>
  </si>
  <si>
    <r>
      <t xml:space="preserve">Church, S. A., and D. R. Taylor. 2005. Speciation and hybridization among </t>
    </r>
    <r>
      <rPr>
        <i/>
        <sz val="10"/>
        <rFont val="Arial"/>
        <family val="2"/>
      </rPr>
      <t>Houstonia</t>
    </r>
    <r>
      <rPr>
        <sz val="10"/>
        <rFont val="Arial"/>
        <family val="2"/>
      </rPr>
      <t xml:space="preserve"> (Rubiaceae) species: the influence of polyploidy on reticulate evolution.  Amer. J. Bot. 92:1372-1380.</t>
    </r>
  </si>
  <si>
    <r>
      <t xml:space="preserve">Chung, K. -F., C. I. Peng, S. R. Downie, K. Spalik, and B. A. Schaal.  2005. Molecular systematics of the trans-Pacific alpine genus </t>
    </r>
    <r>
      <rPr>
        <i/>
        <sz val="10"/>
        <rFont val="Arial"/>
        <family val="2"/>
      </rPr>
      <t>Oreomyrrhis</t>
    </r>
    <r>
      <rPr>
        <sz val="10"/>
        <rFont val="Arial"/>
        <family val="2"/>
      </rPr>
      <t xml:space="preserve"> (Apiaceae):phylogenetic addinities and biogeographic implications.  Amer. J. Bot. 92:2054-2071.</t>
    </r>
  </si>
  <si>
    <r>
      <t xml:space="preserve">Cieslak, T., J. S. Polepalli, A. White, K. Muller, T. Borsch, W. Barthlott, J. Steiger, A. Marchant, and L. Legendre. 2005. Phylogenetic analysis of </t>
    </r>
    <r>
      <rPr>
        <i/>
        <sz val="10"/>
        <rFont val="Arial"/>
        <family val="2"/>
      </rPr>
      <t>Pinguicula</t>
    </r>
    <r>
      <rPr>
        <sz val="10"/>
        <rFont val="Arial"/>
        <family val="2"/>
      </rPr>
      <t xml:space="preserve"> (Lentibulariaceae):  chloroplast DNA sequences and morphology support several geographically distinct radiations.  Amer. J. Bot. 92:1723-1736.</t>
    </r>
  </si>
  <si>
    <r>
      <t xml:space="preserve">Kay, K. M., P. A. Reeves, R. G. Olmstead, and D. W. Schemske. 2005. Rapid speciation and the evolution of hummingbird pollination in neotropical </t>
    </r>
    <r>
      <rPr>
        <i/>
        <sz val="10"/>
        <rFont val="Arial"/>
        <family val="2"/>
      </rPr>
      <t>Costus</t>
    </r>
    <r>
      <rPr>
        <sz val="10"/>
        <rFont val="Arial"/>
        <family val="2"/>
      </rPr>
      <t xml:space="preserve"> subgenus </t>
    </r>
    <r>
      <rPr>
        <i/>
        <sz val="10"/>
        <rFont val="Arial"/>
        <family val="2"/>
      </rPr>
      <t>Costus</t>
    </r>
    <r>
      <rPr>
        <sz val="10"/>
        <rFont val="Arial"/>
        <family val="2"/>
      </rPr>
      <t xml:space="preserve"> (Costaceae): evidence from nrDNA ITS and ETS sequences. Amer. J. Bot. 92:1899-1910.</t>
    </r>
  </si>
  <si>
    <r>
      <t xml:space="preserve">Lee, C., S. -C. Kim, K. Lundy, and A. Santos-Guerra. 2005. Chloroplast DNA phylogeny of the woody </t>
    </r>
    <r>
      <rPr>
        <i/>
        <sz val="10"/>
        <rFont val="Arial"/>
        <family val="2"/>
      </rPr>
      <t>Sonchus</t>
    </r>
    <r>
      <rPr>
        <sz val="10"/>
        <rFont val="Arial"/>
        <family val="2"/>
      </rPr>
      <t xml:space="preserve"> alliance (Asteraceae: Sonchinae) in the Macaronesian islands. Amer. J. Bot. 92:2072-2085.</t>
    </r>
  </si>
  <si>
    <r>
      <t xml:space="preserve">Lledo, M. D., M. B. Crespo, M. F. Fay, and M. W. Chase. 2005. Molecular phylogenetics of </t>
    </r>
    <r>
      <rPr>
        <i/>
        <sz val="10"/>
        <rFont val="Arial"/>
        <family val="2"/>
      </rPr>
      <t>Limonium</t>
    </r>
    <r>
      <rPr>
        <sz val="10"/>
        <rFont val="Arial"/>
        <family val="2"/>
      </rPr>
      <t xml:space="preserve"> and related genera (Plumbaginaceae): biogeographical and systematic implications.  Amer. J. Bot. 92:1189-1198.</t>
    </r>
  </si>
  <si>
    <r>
      <t xml:space="preserve">Mansion, G., and L. Zeltner. 2004. Phylogenetic relationships within the new world endemic </t>
    </r>
    <r>
      <rPr>
        <i/>
        <sz val="10"/>
        <rFont val="Arial"/>
        <family val="2"/>
      </rPr>
      <t>Zelthnera</t>
    </r>
    <r>
      <rPr>
        <sz val="10"/>
        <rFont val="Arial"/>
        <family val="2"/>
      </rPr>
      <t xml:space="preserve"> (Gentianaceae-Chironiinae) inferred from molecular and karyological data. Amer. J. Bot. 91:2069-2086.</t>
    </r>
  </si>
  <si>
    <r>
      <t xml:space="preserve">McKown, A. D., J. -M. Moncalvo, and N. G. Dengler. 2005. Phylogeny of </t>
    </r>
    <r>
      <rPr>
        <i/>
        <sz val="10"/>
        <rFont val="Arial"/>
        <family val="2"/>
      </rPr>
      <t>Flaveria</t>
    </r>
    <r>
      <rPr>
        <sz val="10"/>
        <rFont val="Arial"/>
        <family val="2"/>
      </rPr>
      <t xml:space="preserve"> (Asteraceae) and inference of C4 photosynthesis evolution. Amer. J. Bot. 92:1911-1928.</t>
    </r>
  </si>
  <si>
    <r>
      <t xml:space="preserve">Schnabel, A., P. E. McDonel, and J. F. Wendel. 2003. Phylogenetic relationships in </t>
    </r>
    <r>
      <rPr>
        <i/>
        <sz val="10"/>
        <rFont val="Arial"/>
        <family val="2"/>
      </rPr>
      <t>Gleditsia</t>
    </r>
    <r>
      <rPr>
        <sz val="10"/>
        <rFont val="Arial"/>
        <family val="2"/>
      </rPr>
      <t xml:space="preserve"> (Leguminosae) based on Its sequences. Amer. J. Bot. 90:310-320.</t>
    </r>
  </si>
  <si>
    <r>
      <t xml:space="preserve">Schuettpelz, E., and S. B. Hoot. 2004. Phylogeny and biogeography of </t>
    </r>
    <r>
      <rPr>
        <i/>
        <sz val="10"/>
        <rFont val="Arial"/>
        <family val="2"/>
      </rPr>
      <t>Caltha</t>
    </r>
    <r>
      <rPr>
        <sz val="10"/>
        <rFont val="Arial"/>
        <family val="2"/>
      </rPr>
      <t xml:space="preserve"> (Ranunculaceae) based on chloroplast and nuclear DNA sequences. Amer. J. Bot. 91:247-253.</t>
    </r>
  </si>
  <si>
    <r>
      <t xml:space="preserve">Bell, C. D., and R. W. Patterson. 2000. Molecular phylogeny and biogeography of </t>
    </r>
    <r>
      <rPr>
        <i/>
        <sz val="10"/>
        <rFont val="Arial"/>
        <family val="2"/>
      </rPr>
      <t>Linanthus</t>
    </r>
    <r>
      <rPr>
        <sz val="10"/>
        <rFont val="Arial"/>
        <family val="2"/>
      </rPr>
      <t xml:space="preserve"> (Polemoniaceae). Amer. J. Bot. 87:1857-1870.</t>
    </r>
  </si>
  <si>
    <t>Simpson, B. B., A. Weeks, D. M. Helfgott, and L. L. Larkin. 2004. Species relationships in Krameria (Krameriaceae) based on ITS sequences and morphology: Implications for character utility and biogeography. Syst. Bot. 29:97-108.</t>
  </si>
  <si>
    <r>
      <t xml:space="preserve">Davis, C. C., P. E. Fritsch, J. Li, and M. J. Donoghue.  2002. Phylogeny and biogeography of </t>
    </r>
    <r>
      <rPr>
        <i/>
        <sz val="10"/>
        <rFont val="Arial"/>
        <family val="2"/>
      </rPr>
      <t>Cercis</t>
    </r>
    <r>
      <rPr>
        <sz val="10"/>
        <rFont val="Arial"/>
        <family val="2"/>
      </rPr>
      <t xml:space="preserve"> (Fabaceae): Evidence from nuclear ribosomal ITS and chloroplast ndhF sequence data. Syst. Bot. 27: 289-302.</t>
    </r>
  </si>
  <si>
    <r>
      <t xml:space="preserve">Downie, S. R., F-J. Sun, D. S. Katz-Downie, and G. J. Colletti. 2004. A Phylogenetic Study of </t>
    </r>
    <r>
      <rPr>
        <i/>
        <sz val="10"/>
        <rFont val="Arial"/>
        <family val="2"/>
      </rPr>
      <t>Perideridia</t>
    </r>
    <r>
      <rPr>
        <sz val="10"/>
        <rFont val="Arial"/>
        <family val="2"/>
      </rPr>
      <t xml:space="preserve"> (Apiaceae) based on nuclear ribosomal DNA ITS sequences. Syst. Bot. 29: 373-751.</t>
    </r>
  </si>
  <si>
    <r>
      <t xml:space="preserve">Feng, Y., S.-H. Oh, and P. S. Manos. 2005. Phylogeny and historical biogeography of the genus </t>
    </r>
    <r>
      <rPr>
        <i/>
        <sz val="10"/>
        <rFont val="Arial"/>
        <family val="2"/>
      </rPr>
      <t>Platanus</t>
    </r>
    <r>
      <rPr>
        <sz val="10"/>
        <rFont val="Arial"/>
        <family val="2"/>
      </rPr>
      <t xml:space="preserve"> as inferred from nuclear and chloroplast DNA. Syst. Bot. 30:786-799.</t>
    </r>
  </si>
  <si>
    <r>
      <t xml:space="preserve">Freeman, C. E., J. S. Harrison, J. P. Janovec, and R. Scogin. 2003. Inferred phylogeny in </t>
    </r>
    <r>
      <rPr>
        <i/>
        <sz val="10"/>
        <rFont val="Arial"/>
        <family val="2"/>
      </rPr>
      <t>Keckiella</t>
    </r>
    <r>
      <rPr>
        <sz val="10"/>
        <rFont val="Arial"/>
        <family val="2"/>
      </rPr>
      <t xml:space="preserve"> (Scrophulariaceae) based on noncoding choloplast and nuclear ribosomal DNA sequences. Syst. Bot. 28:782-790.</t>
    </r>
  </si>
  <si>
    <r>
      <t xml:space="preserve">Ickert-Bond, S. M., and M. F. Wojciechowski. 2004. Phylogenetic relationships in </t>
    </r>
    <r>
      <rPr>
        <i/>
        <sz val="10"/>
        <rFont val="Arial"/>
        <family val="2"/>
      </rPr>
      <t>Ephedra</t>
    </r>
    <r>
      <rPr>
        <sz val="10"/>
        <rFont val="Arial"/>
        <family val="2"/>
      </rPr>
      <t xml:space="preserve"> (Gnetales): Evidence from nuclear and chloroplast DNA sequence data. Syst. Bot. 29:834-849. </t>
    </r>
  </si>
  <si>
    <r>
      <t xml:space="preserve">Kita, Y., and M. Kato. 2004. Molecular phylogeny of Cladopus and </t>
    </r>
    <r>
      <rPr>
        <i/>
        <sz val="10"/>
        <rFont val="Arial"/>
        <family val="2"/>
      </rPr>
      <t>Hydrobryun</t>
    </r>
    <r>
      <rPr>
        <sz val="10"/>
        <rFont val="Arial"/>
        <family val="2"/>
      </rPr>
      <t xml:space="preserve"> (Podostemaceae, Podostemoideae) with implications for their biogeography in East Asia. Syst. Bot. 29:921-932.</t>
    </r>
  </si>
  <si>
    <r>
      <t xml:space="preserve">Liu, Q., C. L. Brubaker, A. G. Green, D. R. Marshall, P. J. Sharp, and S. P. Singh. 2001. Evolution of the FAD2-1 fatty acid desaturase 5' UTR intron and the molecular systematics of </t>
    </r>
    <r>
      <rPr>
        <i/>
        <sz val="10"/>
        <rFont val="Arial"/>
        <family val="2"/>
      </rPr>
      <t>Gossypium</t>
    </r>
    <r>
      <rPr>
        <sz val="10"/>
        <rFont val="Arial"/>
        <family val="2"/>
      </rPr>
      <t xml:space="preserve"> (Malvaceae). Amer. J. Bot. 88:92-102.</t>
    </r>
  </si>
  <si>
    <r>
      <t xml:space="preserve">Lohwasser, U., A. Granda, and F. R. Blattner. 2004. Phylogenetic analysis of </t>
    </r>
    <r>
      <rPr>
        <i/>
        <sz val="10"/>
        <rFont val="Arial"/>
        <family val="2"/>
      </rPr>
      <t>Microseris</t>
    </r>
    <r>
      <rPr>
        <sz val="10"/>
        <rFont val="Arial"/>
        <family val="2"/>
      </rPr>
      <t xml:space="preserve"> (Asterceae), including a newly discovered andean population from Peru. Syst. Bot. 29:774-780.</t>
    </r>
  </si>
  <si>
    <r>
      <t xml:space="preserve">Roalson, E. H., L. E. Skog, and E. A. Zimmer. 2003. Phylogenetic relationships and the diversification of floral form in </t>
    </r>
    <r>
      <rPr>
        <i/>
        <sz val="10"/>
        <rFont val="Arial"/>
        <family val="2"/>
      </rPr>
      <t>Achimenes</t>
    </r>
    <r>
      <rPr>
        <sz val="10"/>
        <rFont val="Arial"/>
        <family val="2"/>
      </rPr>
      <t xml:space="preserve"> (Gesneriaceae). Syst. Bot. 28:593-608.</t>
    </r>
  </si>
  <si>
    <r>
      <t xml:space="preserve">Scharaschkin, T., and J. A. Doyle. 2005. Phylogeny and historical biogeography of </t>
    </r>
    <r>
      <rPr>
        <i/>
        <sz val="10"/>
        <rFont val="Arial"/>
        <family val="2"/>
      </rPr>
      <t>Anaxagorea</t>
    </r>
    <r>
      <rPr>
        <sz val="10"/>
        <rFont val="Arial"/>
        <family val="2"/>
      </rPr>
      <t xml:space="preserve"> (Annonaceae) using morphology and non-coding choloplast sequence data. Syst. Bot. 30:712-735.</t>
    </r>
  </si>
  <si>
    <r>
      <t xml:space="preserve">Cheviron, Z. A., A. P. Capparella, and F. Vuilleumier. 2005. Molecular phylogenetic relationships among the </t>
    </r>
    <r>
      <rPr>
        <i/>
        <sz val="10"/>
        <rFont val="Arial"/>
        <family val="2"/>
      </rPr>
      <t>Geositta</t>
    </r>
    <r>
      <rPr>
        <sz val="10"/>
        <rFont val="Arial"/>
        <family val="2"/>
      </rPr>
      <t xml:space="preserve"> miners (Furnariidae) and biogeographic implications for avian speciation in Fuego-Patagonia. Auk 122:158-174.</t>
    </r>
  </si>
  <si>
    <r>
      <t xml:space="preserve">Lovette, I. J., and E. Bermingham. 1999.  Explosive speciation in the new world </t>
    </r>
    <r>
      <rPr>
        <i/>
        <sz val="10"/>
        <rFont val="Arial"/>
        <family val="2"/>
      </rPr>
      <t>Dendrorica</t>
    </r>
    <r>
      <rPr>
        <sz val="10"/>
        <rFont val="Arial"/>
        <family val="2"/>
      </rPr>
      <t xml:space="preserve"> Warblers. Proc. Roy. Soc. Lond., B 266:1639-1636.</t>
    </r>
  </si>
  <si>
    <r>
      <t xml:space="preserve">Thulin, M., M. Lavin, R. Pasquet, and A. Delgado-Salinas. 2004. Phylogeny and biogeography of </t>
    </r>
    <r>
      <rPr>
        <i/>
        <sz val="10"/>
        <rFont val="Arial"/>
        <family val="2"/>
      </rPr>
      <t>Wajira</t>
    </r>
    <r>
      <rPr>
        <sz val="10"/>
        <rFont val="Arial"/>
        <family val="2"/>
      </rPr>
      <t xml:space="preserve"> (Leguminosae): a monophyletic segregate of Vigna centered in the horn of Africa region. Syst. Botany 29:903-920.</t>
    </r>
  </si>
  <si>
    <r>
      <t xml:space="preserve">Wagstaff, S. J., and I. Breitwieser. 2004. Phylogeny and classification of </t>
    </r>
    <r>
      <rPr>
        <i/>
        <sz val="10"/>
        <rFont val="Arial"/>
        <family val="2"/>
      </rPr>
      <t>Brachyglottis</t>
    </r>
    <r>
      <rPr>
        <sz val="10"/>
        <rFont val="Arial"/>
        <family val="2"/>
      </rPr>
      <t xml:space="preserve"> (Senecioneae, Asteraceae): an example of a rapid species radiation in New Zealand.  2004. Syst. Botany 29:1003-1010.</t>
    </r>
  </si>
  <si>
    <t>Wilson, A. B., M. Glaubrecht, and A. Meyer. 2003. Ancient lakes as evolitionary reserviors: evidence from the thalassoid gastropods of Lake Tanganyika.  Proc. Roy. Soc. Lond., B 271, 529-538.</t>
  </si>
  <si>
    <r>
      <t xml:space="preserve">Zhang, L. -B., H. P. Comes, and J. W. Kadereit. 2001. Phylogeny and quaternary history of the European montane/alpine endemic </t>
    </r>
    <r>
      <rPr>
        <i/>
        <sz val="10"/>
        <rFont val="Arial"/>
        <family val="2"/>
      </rPr>
      <t>Soldanella</t>
    </r>
    <r>
      <rPr>
        <sz val="10"/>
        <rFont val="Arial"/>
        <family val="2"/>
      </rPr>
      <t xml:space="preserve"> (Primulaceae) based on ITS and AFLP variation. Amer. J. Bot. 88:2331-2345.</t>
    </r>
  </si>
  <si>
    <r>
      <t xml:space="preserve">Braun, J. K., R. A. VanDenBussche, P. K. Morton, and M. A. Mares. 2005. Phylogenetic and biogeographic relationships of mouse opossums </t>
    </r>
    <r>
      <rPr>
        <i/>
        <sz val="10"/>
        <rFont val="Arial"/>
        <family val="2"/>
      </rPr>
      <t>Thaylamys</t>
    </r>
    <r>
      <rPr>
        <sz val="10"/>
        <rFont val="Arial"/>
        <family val="2"/>
      </rPr>
      <t xml:space="preserve"> (Didelphimorphia, Didelphidae) in southern south America. Journal of Mammalogy 86:147-159.</t>
    </r>
  </si>
  <si>
    <r>
      <t xml:space="preserve">Schwenk, K., D. Posada, and P. D. N. Herbert. 2000. Molecular systematics of European </t>
    </r>
    <r>
      <rPr>
        <i/>
        <sz val="10"/>
        <rFont val="Arial"/>
        <family val="2"/>
      </rPr>
      <t>Hyalodaphnia</t>
    </r>
    <r>
      <rPr>
        <sz val="10"/>
        <rFont val="Arial"/>
        <family val="2"/>
      </rPr>
      <t>: the role of the contemporary hybridization in ancient species. Proc. Roy. Soc. Lond., B 267:1833-1847.</t>
    </r>
  </si>
  <si>
    <t>Douady, C. J., F. Catzeflis, J. Raman, M. S. Springer, and M. J. Stanhope. 2003. The Sahara as a vicariant agent, and the role of Miocene climatic events, in the diversification of the mammalian order Macroscelidea. Proc.Nat. Acad. Sci., USA 100:8325–8330.</t>
  </si>
  <si>
    <t>Drovetski, S. V. 2002. Molecular phylogeny of grouse: Individual and combined performance of W-linked, autosomal, and mitochondrial loci. Syst. Biol. 51:930-945.</t>
  </si>
  <si>
    <t>Johns, G. C., and J. C. Avise. 1998. Tests for ancient species flocks based on molecular phylogenetic appraisals of Sebastes rockfishes and other marine fishes. Evol. 52:1135–1146.</t>
  </si>
  <si>
    <r>
      <t>Berendonk, T. U., T. G. Barraclough and J. C. Barraclough. 2003. Phylogenetics of pond and lake lifestyles in</t>
    </r>
    <r>
      <rPr>
        <i/>
        <sz val="10"/>
        <rFont val="Arial"/>
        <family val="2"/>
      </rPr>
      <t xml:space="preserve"> Chaoborus</t>
    </r>
    <r>
      <rPr>
        <sz val="10"/>
        <rFont val="Arial"/>
        <family val="2"/>
      </rPr>
      <t xml:space="preserve"> midge larvae. Evol. 57:2173-2178.</t>
    </r>
  </si>
  <si>
    <t>McKenna, D. D., and B. D. Farrell. 2006. Tropical forests are both evolutionary cradles and museums of leaf beetle diversity. Proc.Nat. Acad. Sci., USA 103:10947-10951.</t>
  </si>
  <si>
    <t>Baldwin, B. G., and M. J. Sanderson. 1998. Age and rate of diversification of the Hawaiian silversword alliance (Compositae). Proc.Nat. Acad. Sci., USA 95:9402-9406.</t>
  </si>
  <si>
    <t>Turgeon, J., R. Stoks, R. A. Thum, J. M. Brown and M. A. McPeek. 2005. Simultaneous Quaternary radiations of three damselfly clades across the Holarctic.  Amer. Natur. 165:E78-E107.</t>
  </si>
  <si>
    <t>Stoks, R., and M. A. McPeek. 2006. A tale of two diversifications: reciprocal habitat shifts to fill ecological space along the pond permanence gradient.  Amer. Natur. 168:S50-S72.</t>
  </si>
  <si>
    <t>Mooers, A. O., S. M. Vamosi, and D. Schluter. 1999. Using phylogenies to test macroevolutionary hypotheses of trait evolution in cranes (Gruinae). Amer. Natur. 154:249-259.</t>
  </si>
  <si>
    <t>Price, T., I. J. Lovette, E. Bermingham, H. L. Gibbs, and A. D. Richman. 2000. Imprint on history on communities of North American and Asian Warblers. Amer. Natur. 156:354-367.</t>
  </si>
  <si>
    <r>
      <t>Baum, D. A., R. L. Small, and J. F. Wendel. 1998. Biogeography and floral evolution of baobabs (</t>
    </r>
    <r>
      <rPr>
        <i/>
        <sz val="10"/>
        <color indexed="8"/>
        <rFont val="Arial"/>
        <family val="2"/>
      </rPr>
      <t>Adansonia</t>
    </r>
    <r>
      <rPr>
        <sz val="10"/>
        <color indexed="8"/>
        <rFont val="Arial"/>
        <family val="2"/>
      </rPr>
      <t>, Bombacaceae) as inferred from multiple data sets. Syst. Biol. 47:181-207.</t>
    </r>
  </si>
  <si>
    <r>
      <t xml:space="preserve">Chiba, S. 1999. Accelerated evolution of land snails </t>
    </r>
    <r>
      <rPr>
        <i/>
        <sz val="10"/>
        <rFont val="Arial"/>
        <family val="2"/>
      </rPr>
      <t>Mandarina</t>
    </r>
    <r>
      <rPr>
        <sz val="10"/>
        <rFont val="Arial"/>
        <family val="2"/>
      </rPr>
      <t xml:space="preserve"> in the oceanic Bonin Islands: evidence from mitochondrial DNA sequences. Evol. 53:460–471.</t>
    </r>
  </si>
  <si>
    <r>
      <t xml:space="preserve">Comes, H. P., and R. J. Abbott. 2001. Molecular phylogeography, reticulation, and lineage sorting in Mediterranean </t>
    </r>
    <r>
      <rPr>
        <i/>
        <sz val="10"/>
        <color indexed="8"/>
        <rFont val="Arial"/>
        <family val="2"/>
      </rPr>
      <t>Senecio</t>
    </r>
    <r>
      <rPr>
        <sz val="10"/>
        <color indexed="8"/>
        <rFont val="Arial"/>
        <family val="2"/>
      </rPr>
      <t xml:space="preserve"> sect. </t>
    </r>
    <r>
      <rPr>
        <i/>
        <sz val="10"/>
        <color indexed="8"/>
        <rFont val="Arial"/>
        <family val="2"/>
      </rPr>
      <t>Senecio</t>
    </r>
    <r>
      <rPr>
        <sz val="10"/>
        <color indexed="8"/>
        <rFont val="Arial"/>
        <family val="2"/>
      </rPr>
      <t xml:space="preserve"> (Asteraceae). Evol. 55:1943–1962.</t>
    </r>
  </si>
  <si>
    <t>Donald, K. M., M. Kennedy, and H. G. Spencer. 2005. Cladogenesis as the result of long-distance rafting events in south Pacific topshells (Gastropoda: Trochidae). Evol. 59:1701–1711.</t>
  </si>
  <si>
    <r>
      <t>Joy, D. A., and J. E. Conn. 2001. Molecular and morphological phylogenetic analysis of an insular radiation in Pacific black flies (</t>
    </r>
    <r>
      <rPr>
        <i/>
        <sz val="10"/>
        <color indexed="8"/>
        <rFont val="Arial"/>
        <family val="2"/>
      </rPr>
      <t>Simulium</t>
    </r>
    <r>
      <rPr>
        <sz val="10"/>
        <color indexed="8"/>
        <rFont val="Arial"/>
        <family val="2"/>
      </rPr>
      <t>). Syst. Biol. 50:18-38.</t>
    </r>
  </si>
  <si>
    <r>
      <t xml:space="preserve">Kimball, R. T., D. J. Crawford, and E. B. Smith. 2003. Evolutionary processes in the genus </t>
    </r>
    <r>
      <rPr>
        <i/>
        <sz val="10"/>
        <color indexed="8"/>
        <rFont val="Arial"/>
        <family val="2"/>
      </rPr>
      <t>Coreocarpus</t>
    </r>
    <r>
      <rPr>
        <sz val="10"/>
        <color indexed="8"/>
        <rFont val="Arial"/>
        <family val="2"/>
      </rPr>
      <t>: Insights from molecular phylolgenetics. Evol. 57:52–61.</t>
    </r>
  </si>
  <si>
    <r>
      <t xml:space="preserve">Moller, M., and Q. C. B. Cronk. Evolution of morphological novelty: A phylogenetic analysis of growth patterns in </t>
    </r>
    <r>
      <rPr>
        <i/>
        <sz val="10"/>
        <color indexed="8"/>
        <rFont val="Arial"/>
        <family val="2"/>
      </rPr>
      <t>Streptocarpus</t>
    </r>
    <r>
      <rPr>
        <sz val="10"/>
        <color indexed="8"/>
        <rFont val="Arial"/>
        <family val="2"/>
      </rPr>
      <t xml:space="preserve"> (Gesneriaceae). Evol. 55:918–929.</t>
    </r>
  </si>
  <si>
    <r>
      <t xml:space="preserve">Near, T. J., and M. F. Bernard. Rapid allopatric speciation in logperch darters (Percidae: </t>
    </r>
    <r>
      <rPr>
        <i/>
        <sz val="10"/>
        <color indexed="8"/>
        <rFont val="Arial"/>
        <family val="2"/>
      </rPr>
      <t>Percina</t>
    </r>
    <r>
      <rPr>
        <sz val="10"/>
        <color indexed="8"/>
        <rFont val="Arial"/>
        <family val="2"/>
      </rPr>
      <t>). Evol. 58:2798–2808.</t>
    </r>
  </si>
  <si>
    <r>
      <t xml:space="preserve">Parker, J. D., and S. W. Rissing. 2002. Molecular evidence for the origin of workerless social parasites in the ant genus </t>
    </r>
    <r>
      <rPr>
        <i/>
        <sz val="10"/>
        <color indexed="8"/>
        <rFont val="Arial"/>
        <family val="2"/>
      </rPr>
      <t>Pogonomyrmex</t>
    </r>
    <r>
      <rPr>
        <sz val="10"/>
        <color indexed="8"/>
        <rFont val="Arial"/>
        <family val="2"/>
      </rPr>
      <t>. Evol. 56:2017–2028.</t>
    </r>
  </si>
  <si>
    <r>
      <t xml:space="preserve">Quek, S.-P., S. J. Davies, T. Itinon, and N. E. Pierce. 2004. Codiversification in the ant-plant mutualism: stem texture and the evoltuion of host use in </t>
    </r>
    <r>
      <rPr>
        <i/>
        <sz val="10"/>
        <color indexed="8"/>
        <rFont val="Arial"/>
        <family val="2"/>
      </rPr>
      <t>Crematogaster</t>
    </r>
    <r>
      <rPr>
        <sz val="10"/>
        <color indexed="8"/>
        <rFont val="Arial"/>
        <family val="2"/>
      </rPr>
      <t>(Formicidae:Myrmicinae) inhabitants of Macaranga (Euforbiaceae). Evol. 58:554–570.</t>
    </r>
  </si>
  <si>
    <t>Ruber, L., E. Verheyen, and A. Meyer. 1999. Replicated evolution of trophic specializations in an endemic cichlid fish lineage from Lake Tanganyika. Proc.Nat. Acad. Sci., USA 96:10230–10235.</t>
  </si>
  <si>
    <t>Sato, A., C. O'Huigin, F. Figueroa, P. R. Grant, B. R. Grant, H. Tichy, and J. Klein. 1999. Phylogeny of Darwin’s finches as revealed by mtDNA sequences. Proc.Nat. Acad. Sci., USA 96:5101–5106.</t>
  </si>
  <si>
    <t>Steppan, S. J., M. R. Akhverdyan, E. A. Lyapunova; D. G. Fraser, N. N. Vorontsov,  R. S. Hoffmann, and M. J. Braun. 1999. Molecular Phylogeny of the Marmots (Rodentia: Sciuridae): Tests of Evolutionary and Biogeographic Hypotheses. Syst. Biol. 48:715-734.</t>
  </si>
  <si>
    <r>
      <t xml:space="preserve">Williams, S. T., and D. G. Reid. 2004. Speciation and diversity on tropical rocky shores: A global phylogeny of snails of the genus </t>
    </r>
    <r>
      <rPr>
        <i/>
        <sz val="10"/>
        <color indexed="8"/>
        <rFont val="Arial"/>
        <family val="2"/>
      </rPr>
      <t xml:space="preserve">Echinolittorina. </t>
    </r>
    <r>
      <rPr>
        <sz val="10"/>
        <color indexed="8"/>
        <rFont val="Arial"/>
        <family val="2"/>
      </rPr>
      <t>Evol. 58:2227–2251.</t>
    </r>
  </si>
  <si>
    <r>
      <t>Xiang, Q.-Y., S. R. Manchester, D. T. Thoma, W. Zhang, and C. Fan. 2005. Phylogeny, biogeography, and molecular dating of cornelian cherries (</t>
    </r>
    <r>
      <rPr>
        <i/>
        <sz val="10"/>
        <rFont val="Arial"/>
        <family val="2"/>
      </rPr>
      <t>Cornus</t>
    </r>
    <r>
      <rPr>
        <sz val="10"/>
        <rFont val="Arial"/>
        <family val="2"/>
      </rPr>
      <t>, Cornaceae): Tracking Tertiary plant migration. Evol. 59:1685–1700.</t>
    </r>
  </si>
  <si>
    <r>
      <t xml:space="preserve">Danforth, B. N., H. Sauquet, and L. Packer. 1999. Phylogeny of the Bee genus </t>
    </r>
    <r>
      <rPr>
        <i/>
        <sz val="10"/>
        <rFont val="Arial"/>
        <family val="2"/>
      </rPr>
      <t>Halictus</t>
    </r>
    <r>
      <rPr>
        <sz val="10"/>
        <rFont val="Arial"/>
        <family val="2"/>
      </rPr>
      <t xml:space="preserve"> (Hymenoptera: Halictidae) based on parsimony and likelihood analyses of nuclear EF-1a sequence data. Mol. Phylo. Evol. 25:511-523</t>
    </r>
  </si>
  <si>
    <r>
      <t>Kiefer, A., F. Mayer, J. Kosuch, O. von Helversen, and M. Veith. 2002. Conflicting molecular phylogenies of European long-eared bats (</t>
    </r>
    <r>
      <rPr>
        <i/>
        <sz val="10"/>
        <rFont val="Arial"/>
        <family val="2"/>
      </rPr>
      <t>Plecotus</t>
    </r>
    <r>
      <rPr>
        <sz val="10"/>
        <rFont val="Arial"/>
        <family val="2"/>
      </rPr>
      <t>) can be explained by cryptic diversity. Mol. Phylo. Evol. 25: 557-566.</t>
    </r>
  </si>
  <si>
    <r>
      <t>Sorenson, M. D., C. N. Balakrishnan, and R. B. Payne. 2004. Clade-limited colonization in brood parasitic finches (</t>
    </r>
    <r>
      <rPr>
        <i/>
        <sz val="10"/>
        <rFont val="Arial"/>
        <family val="2"/>
      </rPr>
      <t xml:space="preserve">Vidua </t>
    </r>
    <r>
      <rPr>
        <sz val="10"/>
        <rFont val="Arial"/>
        <family val="2"/>
      </rPr>
      <t>spp.). Syst. Biol. 53:140-153.</t>
    </r>
  </si>
  <si>
    <r>
      <t xml:space="preserve">Johnson, D. G., B. C. Carstens, W. S. Sheppard, and R. S. Zach. 2005. Phylogeny of leafhopper subgenus </t>
    </r>
    <r>
      <rPr>
        <i/>
        <sz val="10"/>
        <rFont val="Arial"/>
        <family val="2"/>
      </rPr>
      <t>Errhomus</t>
    </r>
    <r>
      <rPr>
        <sz val="10"/>
        <rFont val="Arial"/>
        <family val="2"/>
      </rPr>
      <t xml:space="preserve"> (</t>
    </r>
    <r>
      <rPr>
        <i/>
        <sz val="10"/>
        <rFont val="Arial"/>
        <family val="2"/>
      </rPr>
      <t>Erronus</t>
    </r>
    <r>
      <rPr>
        <sz val="10"/>
        <rFont val="Arial"/>
        <family val="2"/>
      </rPr>
      <t>) (Hemiptera: Cicadellidae) based on mitochondrial DNA sequences. Ann. Entomol. Soc. Am. 98:165-172.</t>
    </r>
  </si>
  <si>
    <r>
      <t xml:space="preserve">Kruse, J. J., F. A. H. Sperling. 2002. Phylogeny of neararctic species of the Xylosteana group of </t>
    </r>
    <r>
      <rPr>
        <i/>
        <sz val="10"/>
        <rFont val="Arial"/>
        <family val="2"/>
      </rPr>
      <t>Archips</t>
    </r>
    <r>
      <rPr>
        <sz val="10"/>
        <rFont val="Arial"/>
        <family val="2"/>
      </rPr>
      <t xml:space="preserve"> Hubner (Lepidoptera: Tortricidae) based on combined analysis of morphological and mitochondrial DNA data sets. Ann. Entomol. Soc. Am. 95:288-301.</t>
    </r>
  </si>
  <si>
    <t>HKY+J117+I+G</t>
  </si>
  <si>
    <t>HKY+J142+I+G</t>
  </si>
  <si>
    <t>HKY+J165+I+G</t>
  </si>
  <si>
    <t>HKY+J178+I+G</t>
  </si>
  <si>
    <t>HKY+J252G</t>
  </si>
  <si>
    <t>ND2, tRNAMet, tRNAIle, tRNATrp, tRNAAla, tRNAAsn, tRNACys, tRNATyr,  ND1 and COI</t>
  </si>
  <si>
    <r>
      <t>Glor, R. E., J. J., Kolbe, R. Powell, A. Larson, and J. B. Losos. 2003. PHylogenetic analysis of ecological and morphological diversification in Hispaniolan trunk-ground anoles (</t>
    </r>
    <r>
      <rPr>
        <i/>
        <sz val="10"/>
        <color indexed="8"/>
        <rFont val="Arial"/>
        <family val="2"/>
      </rPr>
      <t>Anolis cybotes</t>
    </r>
    <r>
      <rPr>
        <sz val="10"/>
        <color indexed="8"/>
        <rFont val="Arial"/>
        <family val="2"/>
      </rPr>
      <t xml:space="preserve"> group). Evolution  57:2383–2397.</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</si>
</sst>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46">
    <font>
      <sz val="11"/>
      <color theme="1"/>
      <name val="Calibri"/>
      <family val="2"/>
    </font>
    <font>
      <sz val="11"/>
      <color indexed="8"/>
      <name val="Calibri"/>
      <family val="2"/>
    </font>
    <font>
      <b/>
      <sz val="10"/>
      <name val="Arial"/>
      <family val="2"/>
    </font>
    <font>
      <sz val="10"/>
      <name val="Arial"/>
      <family val="2"/>
    </font>
    <font>
      <i/>
      <sz val="10"/>
      <name val="Arial"/>
      <family val="2"/>
    </font>
    <font>
      <vertAlign val="superscript"/>
      <sz val="10"/>
      <name val="Arial"/>
      <family val="2"/>
    </font>
    <font>
      <sz val="10"/>
      <color indexed="10"/>
      <name val="Arial"/>
      <family val="2"/>
    </font>
    <font>
      <sz val="10"/>
      <color indexed="8"/>
      <name val="Arial"/>
      <family val="2"/>
    </font>
    <font>
      <b/>
      <i/>
      <sz val="10"/>
      <name val="Symbol"/>
      <family val="1"/>
    </font>
    <font>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vertical="center"/>
    </xf>
    <xf numFmtId="0" fontId="3" fillId="0" borderId="0" xfId="0" applyNumberFormat="1" applyFont="1" applyAlignment="1">
      <alignment vertical="center"/>
    </xf>
    <xf numFmtId="0" fontId="6" fillId="0" borderId="0" xfId="0" applyNumberFormat="1" applyFont="1" applyAlignment="1">
      <alignment horizontal="center" vertical="center"/>
    </xf>
    <xf numFmtId="0" fontId="6" fillId="0" borderId="0" xfId="0" applyFont="1" applyAlignment="1">
      <alignment/>
    </xf>
    <xf numFmtId="0" fontId="3" fillId="0" borderId="0" xfId="0" applyNumberFormat="1" applyFont="1" applyAlignment="1" applyProtection="1">
      <alignment horizontal="left" vertical="center"/>
      <protection locked="0"/>
    </xf>
    <xf numFmtId="1" fontId="3" fillId="0" borderId="0" xfId="0" applyNumberFormat="1" applyFont="1" applyAlignment="1">
      <alignment vertical="center"/>
    </xf>
    <xf numFmtId="0" fontId="2" fillId="0" borderId="0" xfId="0" applyFont="1" applyAlignment="1">
      <alignment horizontal="center" wrapText="1"/>
    </xf>
    <xf numFmtId="1" fontId="2" fillId="0" borderId="0" xfId="0" applyNumberFormat="1" applyFont="1" applyAlignment="1">
      <alignment horizontal="center" wrapText="1"/>
    </xf>
    <xf numFmtId="2" fontId="2" fillId="0" borderId="0" xfId="0" applyNumberFormat="1" applyFont="1" applyAlignment="1">
      <alignment horizontal="center" wrapText="1"/>
    </xf>
    <xf numFmtId="164" fontId="2" fillId="0" borderId="0" xfId="0" applyNumberFormat="1" applyFont="1" applyAlignment="1">
      <alignment horizontal="center" wrapText="1"/>
    </xf>
    <xf numFmtId="165" fontId="2" fillId="0" borderId="0" xfId="0" applyNumberFormat="1" applyFont="1" applyAlignment="1">
      <alignment horizontal="center" wrapText="1"/>
    </xf>
    <xf numFmtId="0" fontId="44" fillId="0" borderId="0" xfId="0" applyFont="1" applyAlignment="1">
      <alignment/>
    </xf>
    <xf numFmtId="165" fontId="8" fillId="0" borderId="0" xfId="0" applyNumberFormat="1" applyFont="1" applyAlignment="1">
      <alignment horizontal="center" wrapText="1"/>
    </xf>
    <xf numFmtId="0" fontId="44" fillId="0" borderId="0" xfId="0" applyFont="1" applyAlignment="1">
      <alignment/>
    </xf>
    <xf numFmtId="0" fontId="44" fillId="0" borderId="0" xfId="0" applyFont="1" applyAlignment="1">
      <alignment horizontal="center" vertical="center"/>
    </xf>
    <xf numFmtId="0" fontId="44" fillId="0" borderId="0" xfId="0" applyNumberFormat="1" applyFont="1" applyAlignment="1">
      <alignment horizontal="left" vertical="center"/>
    </xf>
    <xf numFmtId="1" fontId="44" fillId="0" borderId="0" xfId="0" applyNumberFormat="1" applyFont="1" applyAlignment="1">
      <alignment horizontal="center" vertical="center"/>
    </xf>
    <xf numFmtId="0" fontId="44" fillId="0" borderId="0" xfId="0" applyNumberFormat="1" applyFont="1" applyAlignment="1">
      <alignment horizontal="center" vertical="center"/>
    </xf>
    <xf numFmtId="0" fontId="44" fillId="0" borderId="0" xfId="0" applyFont="1" applyAlignment="1">
      <alignment vertical="center"/>
    </xf>
    <xf numFmtId="0" fontId="44" fillId="0" borderId="0" xfId="0" applyNumberFormat="1" applyFont="1" applyAlignment="1">
      <alignment vertical="center"/>
    </xf>
    <xf numFmtId="0" fontId="44" fillId="0" borderId="0" xfId="0" applyFont="1" applyAlignment="1" applyProtection="1">
      <alignment horizontal="center" vertical="center"/>
      <protection locked="0"/>
    </xf>
    <xf numFmtId="1" fontId="44" fillId="0" borderId="0" xfId="0" applyNumberFormat="1" applyFont="1" applyAlignment="1" applyProtection="1">
      <alignment horizontal="center" vertical="center"/>
      <protection locked="0"/>
    </xf>
    <xf numFmtId="0" fontId="44" fillId="0" borderId="0" xfId="0" applyNumberFormat="1" applyFont="1" applyAlignment="1" applyProtection="1">
      <alignment horizontal="center" vertical="center"/>
      <protection locked="0"/>
    </xf>
    <xf numFmtId="0" fontId="44" fillId="0" borderId="0" xfId="0" applyNumberFormat="1" applyFont="1" applyAlignment="1" applyProtection="1">
      <alignment horizontal="left" vertical="center"/>
      <protection locked="0"/>
    </xf>
    <xf numFmtId="0" fontId="44" fillId="0" borderId="0" xfId="0" applyFont="1" applyAlignment="1">
      <alignment horizontal="center" vertical="center" wrapText="1"/>
    </xf>
    <xf numFmtId="1" fontId="44" fillId="0" borderId="0" xfId="0" applyNumberFormat="1" applyFont="1" applyAlignment="1">
      <alignment vertical="center"/>
    </xf>
    <xf numFmtId="0" fontId="44" fillId="0" borderId="0" xfId="0" applyNumberFormat="1" applyFont="1" applyAlignment="1">
      <alignment/>
    </xf>
    <xf numFmtId="0" fontId="2" fillId="0" borderId="0" xfId="0" applyNumberFormat="1" applyFont="1" applyAlignment="1">
      <alignment horizontal="center" wrapText="1"/>
    </xf>
    <xf numFmtId="0" fontId="44" fillId="0" borderId="0" xfId="0" applyNumberFormat="1" applyFont="1" applyAlignment="1">
      <alignment horizontal="left" vertical="center" wrapText="1"/>
    </xf>
    <xf numFmtId="0"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Fill="1" applyAlignment="1">
      <alignment horizontal="left" vertical="center" wrapText="1"/>
    </xf>
    <xf numFmtId="0" fontId="44" fillId="0" borderId="0" xfId="0" applyFont="1" applyAlignment="1">
      <alignment vertical="center" wrapText="1"/>
    </xf>
    <xf numFmtId="0" fontId="44" fillId="0" borderId="0" xfId="0" applyNumberFormat="1" applyFont="1" applyAlignment="1">
      <alignment vertical="center" wrapText="1"/>
    </xf>
    <xf numFmtId="11" fontId="44" fillId="0" borderId="0" xfId="0" applyNumberFormat="1" applyFont="1" applyAlignment="1">
      <alignment horizontal="center" vertical="center"/>
    </xf>
    <xf numFmtId="0" fontId="6" fillId="0" borderId="0" xfId="0" applyFont="1" applyAlignment="1">
      <alignment vertical="center"/>
    </xf>
    <xf numFmtId="0" fontId="44" fillId="0" borderId="0" xfId="0" applyFont="1" applyAlignment="1" applyProtection="1">
      <alignmen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NCEAS%202005%20-%20Diversity%20Patterns\Tree%20Database\Tree%20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et"/>
      <sheetName val="Journals and volumes searched"/>
      <sheetName val="Rules of paper choice"/>
      <sheetName val="Figure File Assignments"/>
      <sheetName val="Conversion Factors"/>
      <sheetName val="Cleaned Data S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W678"/>
  <sheetViews>
    <sheetView tabSelected="1" zoomScalePageLayoutView="0" workbookViewId="0" topLeftCell="A1">
      <pane xSplit="1" ySplit="1" topLeftCell="G2" activePane="bottomRight" state="frozen"/>
      <selection pane="topLeft" activeCell="A1" sqref="A1"/>
      <selection pane="bottomLeft" activeCell="K2" sqref="K2"/>
      <selection pane="topRight" activeCell="B1" sqref="B1"/>
      <selection pane="bottomRight" activeCell="K4" sqref="K4"/>
    </sheetView>
  </sheetViews>
  <sheetFormatPr defaultColWidth="9.140625" defaultRowHeight="15"/>
  <cols>
    <col min="1" max="1" width="35.00390625" style="20" customWidth="1"/>
    <col min="2" max="2" width="56.57421875" style="1" customWidth="1"/>
    <col min="3" max="3" width="11.28125" style="21" customWidth="1"/>
    <col min="4" max="4" width="8.7109375" style="22" customWidth="1"/>
    <col min="5" max="5" width="31.421875" style="22" customWidth="1"/>
    <col min="6" max="6" width="16.8515625" style="22" customWidth="1"/>
    <col min="7" max="7" width="10.28125" style="22" customWidth="1"/>
    <col min="8" max="8" width="18.140625" style="22" customWidth="1"/>
    <col min="9" max="9" width="11.7109375" style="22" customWidth="1"/>
    <col min="10" max="12" width="10.8515625" style="22" customWidth="1"/>
    <col min="13" max="13" width="15.140625" style="22" customWidth="1"/>
    <col min="14" max="14" width="12.140625" style="22" customWidth="1"/>
    <col min="15" max="15" width="11.57421875" style="29" customWidth="1"/>
    <col min="16" max="22" width="9.140625" style="16" customWidth="1"/>
    <col min="23" max="23" width="9.140625" style="23" customWidth="1"/>
    <col min="24" max="16384" width="9.140625" style="16" customWidth="1"/>
  </cols>
  <sheetData>
    <row r="1" spans="1:23" s="11" customFormat="1" ht="63.75">
      <c r="A1" s="32" t="s">
        <v>0</v>
      </c>
      <c r="B1" s="32" t="s">
        <v>1</v>
      </c>
      <c r="C1" s="12" t="s">
        <v>2</v>
      </c>
      <c r="D1" s="32" t="s">
        <v>3</v>
      </c>
      <c r="E1" s="32" t="s">
        <v>4</v>
      </c>
      <c r="F1" s="32" t="s">
        <v>5</v>
      </c>
      <c r="G1" s="32" t="s">
        <v>6</v>
      </c>
      <c r="H1" s="32" t="s">
        <v>7</v>
      </c>
      <c r="I1" s="32" t="s">
        <v>8</v>
      </c>
      <c r="J1" s="32" t="s">
        <v>9</v>
      </c>
      <c r="K1" s="32" t="s">
        <v>10</v>
      </c>
      <c r="L1" s="32" t="s">
        <v>11</v>
      </c>
      <c r="M1" s="32" t="s">
        <v>12</v>
      </c>
      <c r="N1" s="32" t="s">
        <v>13</v>
      </c>
      <c r="O1" s="11" t="s">
        <v>14</v>
      </c>
      <c r="P1" s="11" t="s">
        <v>716</v>
      </c>
      <c r="Q1" s="14" t="s">
        <v>722</v>
      </c>
      <c r="R1" s="15" t="s">
        <v>719</v>
      </c>
      <c r="S1" s="17" t="s">
        <v>718</v>
      </c>
      <c r="T1" s="15" t="s">
        <v>723</v>
      </c>
      <c r="U1" s="13" t="s">
        <v>717</v>
      </c>
      <c r="W1" s="11" t="s">
        <v>15</v>
      </c>
    </row>
    <row r="2" spans="1:23" s="23" customFormat="1" ht="63.75">
      <c r="A2" s="20" t="s">
        <v>16</v>
      </c>
      <c r="B2" s="34" t="s">
        <v>749</v>
      </c>
      <c r="C2" s="21">
        <v>100</v>
      </c>
      <c r="D2" s="22">
        <v>2</v>
      </c>
      <c r="E2" s="22" t="s">
        <v>724</v>
      </c>
      <c r="F2" s="22" t="s">
        <v>17</v>
      </c>
      <c r="G2" s="22">
        <v>2425</v>
      </c>
      <c r="H2" s="22" t="s">
        <v>18</v>
      </c>
      <c r="I2" s="22" t="s">
        <v>19</v>
      </c>
      <c r="J2" s="22">
        <v>10</v>
      </c>
      <c r="K2" s="22">
        <v>0.01</v>
      </c>
      <c r="L2" s="22">
        <f>K2/J2</f>
        <v>0.001</v>
      </c>
      <c r="M2" s="22" t="s">
        <v>20</v>
      </c>
      <c r="N2" s="22">
        <v>0.0115</v>
      </c>
      <c r="O2" s="19" t="s">
        <v>21</v>
      </c>
      <c r="P2" s="19">
        <v>10</v>
      </c>
      <c r="Q2" s="19">
        <v>-3.12621250373338</v>
      </c>
      <c r="R2" s="19">
        <v>0.0769238816589752</v>
      </c>
      <c r="S2" s="19">
        <v>0.159895720182489</v>
      </c>
      <c r="T2" s="19">
        <v>0.00319583016658462</v>
      </c>
      <c r="U2" s="19">
        <v>6.80407608695652</v>
      </c>
      <c r="W2" s="23" t="s">
        <v>22</v>
      </c>
    </row>
    <row r="3" spans="1:23" s="23" customFormat="1" ht="51">
      <c r="A3" s="20" t="s">
        <v>725</v>
      </c>
      <c r="B3" s="34" t="s">
        <v>750</v>
      </c>
      <c r="C3" s="21">
        <v>73</v>
      </c>
      <c r="D3" s="22">
        <v>2</v>
      </c>
      <c r="E3" s="22" t="s">
        <v>26</v>
      </c>
      <c r="F3" s="22" t="s">
        <v>17</v>
      </c>
      <c r="G3" s="22">
        <v>1067</v>
      </c>
      <c r="H3" s="22" t="s">
        <v>18</v>
      </c>
      <c r="I3" s="22"/>
      <c r="J3" s="22">
        <v>5.5</v>
      </c>
      <c r="K3" s="22">
        <v>0.01</v>
      </c>
      <c r="L3" s="22">
        <f>K3/J3</f>
        <v>0.0018181818181818182</v>
      </c>
      <c r="M3" s="22" t="s">
        <v>20</v>
      </c>
      <c r="N3" s="22">
        <v>0.0115</v>
      </c>
      <c r="O3" s="19" t="s">
        <v>21</v>
      </c>
      <c r="P3" s="19">
        <v>17</v>
      </c>
      <c r="Q3" s="19">
        <v>-0.374669770295403</v>
      </c>
      <c r="R3" s="19">
        <v>0.492301598698045</v>
      </c>
      <c r="S3" s="19">
        <v>0.231798168855365</v>
      </c>
      <c r="T3" s="19">
        <v>0.00358202607231335</v>
      </c>
      <c r="U3" s="19">
        <v>9.51507012146739</v>
      </c>
      <c r="W3" s="23" t="s">
        <v>27</v>
      </c>
    </row>
    <row r="4" spans="1:23" s="23" customFormat="1" ht="63.75">
      <c r="A4" s="20" t="s">
        <v>28</v>
      </c>
      <c r="B4" s="34" t="s">
        <v>751</v>
      </c>
      <c r="C4" s="21">
        <f>9/17*100</f>
        <v>52.94117647058824</v>
      </c>
      <c r="D4" s="22">
        <v>2</v>
      </c>
      <c r="E4" s="22" t="s">
        <v>29</v>
      </c>
      <c r="F4" s="22" t="s">
        <v>17</v>
      </c>
      <c r="G4" s="22">
        <v>927</v>
      </c>
      <c r="H4" s="22" t="s">
        <v>18</v>
      </c>
      <c r="I4" s="22" t="s">
        <v>19</v>
      </c>
      <c r="J4" s="22">
        <v>1</v>
      </c>
      <c r="K4" s="22">
        <v>1</v>
      </c>
      <c r="L4" s="22">
        <f>K4/J4</f>
        <v>1</v>
      </c>
      <c r="M4" s="22" t="s">
        <v>30</v>
      </c>
      <c r="N4" s="22">
        <v>1</v>
      </c>
      <c r="O4" s="19" t="s">
        <v>21</v>
      </c>
      <c r="P4" s="19">
        <v>9</v>
      </c>
      <c r="Q4" s="19">
        <v>-2.86827763551184</v>
      </c>
      <c r="R4" s="19">
        <v>0.0656501095690284</v>
      </c>
      <c r="S4" s="19">
        <v>0.0869565217391304</v>
      </c>
      <c r="T4" s="19">
        <v>0.0010802052389954</v>
      </c>
      <c r="U4" s="19">
        <v>12.2</v>
      </c>
      <c r="W4" s="23" t="s">
        <v>31</v>
      </c>
    </row>
    <row r="5" spans="1:23" s="23" customFormat="1" ht="51">
      <c r="A5" s="20" t="s">
        <v>32</v>
      </c>
      <c r="B5" s="34" t="s">
        <v>752</v>
      </c>
      <c r="C5" s="21">
        <v>100</v>
      </c>
      <c r="D5" s="22">
        <v>5</v>
      </c>
      <c r="E5" s="22" t="s">
        <v>33</v>
      </c>
      <c r="F5" s="22" t="s">
        <v>24</v>
      </c>
      <c r="G5" s="22">
        <v>840</v>
      </c>
      <c r="H5" s="22" t="s">
        <v>18</v>
      </c>
      <c r="I5" s="22" t="s">
        <v>19</v>
      </c>
      <c r="J5" s="22" t="s">
        <v>34</v>
      </c>
      <c r="K5" s="22"/>
      <c r="L5" s="22"/>
      <c r="M5" s="22"/>
      <c r="N5" s="22"/>
      <c r="O5" s="19" t="s">
        <v>21</v>
      </c>
      <c r="P5" s="19">
        <v>21</v>
      </c>
      <c r="Q5" s="19">
        <v>-3.86369850288156</v>
      </c>
      <c r="R5" s="19">
        <v>0.270735058321052</v>
      </c>
      <c r="S5" s="19" t="s">
        <v>720</v>
      </c>
      <c r="T5" s="19" t="s">
        <v>720</v>
      </c>
      <c r="U5" s="19" t="s">
        <v>720</v>
      </c>
      <c r="W5" s="23" t="s">
        <v>35</v>
      </c>
    </row>
    <row r="6" spans="1:23" s="23" customFormat="1" ht="51">
      <c r="A6" s="20" t="s">
        <v>36</v>
      </c>
      <c r="B6" s="34" t="s">
        <v>37</v>
      </c>
      <c r="C6" s="21">
        <f>30/42*100</f>
        <v>71.42857142857143</v>
      </c>
      <c r="D6" s="22" t="s">
        <v>38</v>
      </c>
      <c r="E6" s="22" t="s">
        <v>39</v>
      </c>
      <c r="F6" s="22" t="s">
        <v>24</v>
      </c>
      <c r="G6" s="22">
        <f>565+998+764</f>
        <v>2327</v>
      </c>
      <c r="H6" s="22" t="s">
        <v>25</v>
      </c>
      <c r="I6" s="22" t="s">
        <v>19</v>
      </c>
      <c r="J6" s="22">
        <v>8.2</v>
      </c>
      <c r="K6" s="22">
        <v>0.1</v>
      </c>
      <c r="L6" s="22">
        <f>K6/J6</f>
        <v>0.012195121951219514</v>
      </c>
      <c r="M6" s="22" t="s">
        <v>20</v>
      </c>
      <c r="N6" s="22"/>
      <c r="O6" s="19" t="s">
        <v>40</v>
      </c>
      <c r="P6" s="19">
        <v>28</v>
      </c>
      <c r="Q6" s="19">
        <v>0.217012237681167</v>
      </c>
      <c r="R6" s="19">
        <v>0.815500975588273</v>
      </c>
      <c r="S6" s="19" t="s">
        <v>720</v>
      </c>
      <c r="T6" s="19" t="s">
        <v>720</v>
      </c>
      <c r="U6" s="19" t="s">
        <v>720</v>
      </c>
      <c r="W6" s="23" t="s">
        <v>41</v>
      </c>
    </row>
    <row r="7" spans="1:23" s="23" customFormat="1" ht="38.25">
      <c r="A7" s="20" t="s">
        <v>42</v>
      </c>
      <c r="B7" s="34" t="s">
        <v>753</v>
      </c>
      <c r="C7" s="21">
        <v>100</v>
      </c>
      <c r="D7" s="22">
        <v>2</v>
      </c>
      <c r="E7" s="22" t="s">
        <v>43</v>
      </c>
      <c r="F7" s="22" t="s">
        <v>17</v>
      </c>
      <c r="G7" s="22">
        <v>1140</v>
      </c>
      <c r="H7" s="22" t="s">
        <v>25</v>
      </c>
      <c r="I7" s="22" t="s">
        <v>155</v>
      </c>
      <c r="J7" s="22">
        <v>2.8</v>
      </c>
      <c r="K7" s="22">
        <v>0.05</v>
      </c>
      <c r="L7" s="22">
        <f>K7/J7</f>
        <v>0.01785714285714286</v>
      </c>
      <c r="M7" s="22" t="s">
        <v>20</v>
      </c>
      <c r="N7" s="22">
        <v>0.0115</v>
      </c>
      <c r="O7" s="19" t="s">
        <v>21</v>
      </c>
      <c r="P7" s="19">
        <v>8</v>
      </c>
      <c r="Q7" s="19">
        <v>-1.21412342675637</v>
      </c>
      <c r="R7" s="19">
        <v>0.216319614311888</v>
      </c>
      <c r="S7" s="19">
        <v>0.0196941894448929</v>
      </c>
      <c r="T7" s="19">
        <v>6.46435163152222E-05</v>
      </c>
      <c r="U7" s="19">
        <v>63.8659748898097</v>
      </c>
      <c r="W7" s="23" t="s">
        <v>44</v>
      </c>
    </row>
    <row r="8" spans="1:23" s="23" customFormat="1" ht="38.25">
      <c r="A8" s="20" t="s">
        <v>45</v>
      </c>
      <c r="B8" s="34" t="s">
        <v>754</v>
      </c>
      <c r="C8" s="21">
        <v>100</v>
      </c>
      <c r="D8" s="22">
        <v>3</v>
      </c>
      <c r="E8" s="22" t="s">
        <v>46</v>
      </c>
      <c r="F8" s="22" t="s">
        <v>17</v>
      </c>
      <c r="G8" s="22">
        <v>2535</v>
      </c>
      <c r="H8" s="22" t="s">
        <v>25</v>
      </c>
      <c r="I8" s="22" t="s">
        <v>19</v>
      </c>
      <c r="J8" s="22">
        <v>84.8</v>
      </c>
      <c r="K8" s="22">
        <v>0.1</v>
      </c>
      <c r="L8" s="22">
        <f>K8/J8</f>
        <v>0.001179245283018868</v>
      </c>
      <c r="M8" s="22" t="s">
        <v>20</v>
      </c>
      <c r="N8" s="22">
        <v>0.0115</v>
      </c>
      <c r="O8" s="19" t="s">
        <v>21</v>
      </c>
      <c r="P8" s="19">
        <v>14</v>
      </c>
      <c r="Q8" s="19">
        <v>-1.49192428460442</v>
      </c>
      <c r="R8" s="19">
        <v>0.555525832491796</v>
      </c>
      <c r="S8" s="19">
        <v>0.242442632315456</v>
      </c>
      <c r="T8" s="19">
        <v>0.00489820249700395</v>
      </c>
      <c r="U8" s="19">
        <v>6.94987479967731</v>
      </c>
      <c r="W8" s="23" t="s">
        <v>47</v>
      </c>
    </row>
    <row r="9" spans="1:23" s="23" customFormat="1" ht="51">
      <c r="A9" s="20" t="s">
        <v>48</v>
      </c>
      <c r="B9" s="34" t="s">
        <v>755</v>
      </c>
      <c r="C9" s="21">
        <v>100</v>
      </c>
      <c r="D9" s="22">
        <v>3</v>
      </c>
      <c r="E9" s="22" t="s">
        <v>49</v>
      </c>
      <c r="F9" s="22" t="s">
        <v>17</v>
      </c>
      <c r="G9" s="22">
        <v>770</v>
      </c>
      <c r="H9" s="22" t="s">
        <v>25</v>
      </c>
      <c r="I9" s="22" t="s">
        <v>19</v>
      </c>
      <c r="J9" s="22">
        <v>1.4</v>
      </c>
      <c r="K9" s="22">
        <v>0.05</v>
      </c>
      <c r="L9" s="22">
        <f>K9/J9</f>
        <v>0.03571428571428572</v>
      </c>
      <c r="M9" s="22" t="s">
        <v>20</v>
      </c>
      <c r="N9" s="22">
        <v>0.0115</v>
      </c>
      <c r="O9" s="19" t="s">
        <v>21</v>
      </c>
      <c r="P9" s="19">
        <v>9</v>
      </c>
      <c r="Q9" s="19">
        <v>-1.64858487427749</v>
      </c>
      <c r="R9" s="19">
        <v>0.37010204433541</v>
      </c>
      <c r="S9" s="19">
        <v>0.0133386962228742</v>
      </c>
      <c r="T9" s="19">
        <v>2.54172595608744E-05</v>
      </c>
      <c r="U9" s="19">
        <v>89.6908974566576</v>
      </c>
      <c r="W9" s="23" t="s">
        <v>50</v>
      </c>
    </row>
    <row r="10" spans="1:23" s="23" customFormat="1" ht="51">
      <c r="A10" s="20" t="s">
        <v>51</v>
      </c>
      <c r="B10" s="34" t="s">
        <v>52</v>
      </c>
      <c r="C10" s="21">
        <v>100</v>
      </c>
      <c r="D10" s="22">
        <v>5</v>
      </c>
      <c r="E10" s="22" t="s">
        <v>53</v>
      </c>
      <c r="F10" s="22" t="s">
        <v>24</v>
      </c>
      <c r="G10" s="22">
        <f>535+217</f>
        <v>752</v>
      </c>
      <c r="H10" s="22" t="s">
        <v>54</v>
      </c>
      <c r="I10" s="22"/>
      <c r="J10" s="22">
        <v>21.1</v>
      </c>
      <c r="K10" s="22">
        <v>0.05</v>
      </c>
      <c r="L10" s="22">
        <f>K10/J10</f>
        <v>0.002369668246445498</v>
      </c>
      <c r="M10" s="22" t="s">
        <v>20</v>
      </c>
      <c r="N10" s="22"/>
      <c r="O10" s="19" t="s">
        <v>55</v>
      </c>
      <c r="P10" s="19">
        <v>11</v>
      </c>
      <c r="Q10" s="19">
        <v>-0.791128413621199</v>
      </c>
      <c r="R10" s="19">
        <v>0.526576323588507</v>
      </c>
      <c r="S10" s="19" t="s">
        <v>720</v>
      </c>
      <c r="T10" s="19" t="s">
        <v>720</v>
      </c>
      <c r="U10" s="19" t="s">
        <v>720</v>
      </c>
      <c r="W10" s="23" t="s">
        <v>56</v>
      </c>
    </row>
    <row r="11" spans="1:23" s="23" customFormat="1" ht="51">
      <c r="A11" s="20" t="s">
        <v>57</v>
      </c>
      <c r="B11" s="34" t="s">
        <v>756</v>
      </c>
      <c r="C11" s="21">
        <v>100</v>
      </c>
      <c r="D11" s="22">
        <v>2</v>
      </c>
      <c r="E11" s="22" t="s">
        <v>58</v>
      </c>
      <c r="F11" s="22" t="s">
        <v>17</v>
      </c>
      <c r="G11" s="22">
        <f>1140+960+524</f>
        <v>2624</v>
      </c>
      <c r="H11" s="22" t="s">
        <v>25</v>
      </c>
      <c r="I11" s="22" t="s">
        <v>116</v>
      </c>
      <c r="J11" s="22">
        <v>5</v>
      </c>
      <c r="K11" s="22">
        <v>0.01</v>
      </c>
      <c r="L11" s="22">
        <f>K11/J11</f>
        <v>0.002</v>
      </c>
      <c r="M11" s="22" t="s">
        <v>20</v>
      </c>
      <c r="N11" s="22">
        <v>0.0115</v>
      </c>
      <c r="O11" s="19" t="s">
        <v>21</v>
      </c>
      <c r="P11" s="19">
        <v>10</v>
      </c>
      <c r="Q11" s="19">
        <v>-3.0184214010122</v>
      </c>
      <c r="R11" s="19">
        <v>0.20125988267075</v>
      </c>
      <c r="S11" s="19">
        <v>0.254958549750042</v>
      </c>
      <c r="T11" s="19">
        <v>0.00812548276133063</v>
      </c>
      <c r="U11" s="19">
        <v>4.00767663043478</v>
      </c>
      <c r="W11" s="23" t="s">
        <v>59</v>
      </c>
    </row>
    <row r="12" spans="1:23" s="23" customFormat="1" ht="51">
      <c r="A12" s="20" t="s">
        <v>60</v>
      </c>
      <c r="B12" s="34" t="s">
        <v>757</v>
      </c>
      <c r="C12" s="21">
        <v>100</v>
      </c>
      <c r="D12" s="22">
        <v>3</v>
      </c>
      <c r="E12" s="3" t="s">
        <v>61</v>
      </c>
      <c r="F12" s="22" t="s">
        <v>24</v>
      </c>
      <c r="G12" s="22"/>
      <c r="H12" s="22" t="s">
        <v>18</v>
      </c>
      <c r="I12" s="22" t="s">
        <v>19</v>
      </c>
      <c r="J12" s="22" t="s">
        <v>34</v>
      </c>
      <c r="K12" s="22"/>
      <c r="L12" s="22"/>
      <c r="M12" s="22"/>
      <c r="N12" s="22"/>
      <c r="O12" s="19" t="s">
        <v>55</v>
      </c>
      <c r="P12" s="19">
        <v>17</v>
      </c>
      <c r="Q12" s="19">
        <v>-0.810458092398541</v>
      </c>
      <c r="R12" s="19">
        <v>0.73702036491961</v>
      </c>
      <c r="S12" s="19" t="s">
        <v>720</v>
      </c>
      <c r="T12" s="19" t="s">
        <v>720</v>
      </c>
      <c r="U12" s="19" t="s">
        <v>720</v>
      </c>
      <c r="W12" s="23" t="s">
        <v>62</v>
      </c>
    </row>
    <row r="13" spans="1:23" s="23" customFormat="1" ht="51">
      <c r="A13" s="20" t="s">
        <v>63</v>
      </c>
      <c r="B13" s="34" t="s">
        <v>758</v>
      </c>
      <c r="C13" s="21">
        <v>100</v>
      </c>
      <c r="D13" s="22">
        <v>3</v>
      </c>
      <c r="E13" s="22" t="s">
        <v>64</v>
      </c>
      <c r="F13" s="22" t="s">
        <v>17</v>
      </c>
      <c r="G13" s="22">
        <v>2088</v>
      </c>
      <c r="H13" s="22" t="s">
        <v>18</v>
      </c>
      <c r="I13" s="22" t="s">
        <v>19</v>
      </c>
      <c r="J13" s="22">
        <v>11.1</v>
      </c>
      <c r="K13" s="22">
        <v>0.05</v>
      </c>
      <c r="L13" s="22">
        <f>K13/J13</f>
        <v>0.0045045045045045045</v>
      </c>
      <c r="M13" s="22" t="s">
        <v>20</v>
      </c>
      <c r="N13" s="22">
        <v>0.0115</v>
      </c>
      <c r="O13" s="19" t="s">
        <v>55</v>
      </c>
      <c r="P13" s="19">
        <v>75</v>
      </c>
      <c r="Q13" s="19">
        <v>-3.66676426613058</v>
      </c>
      <c r="R13" s="19">
        <v>0.724618856951001</v>
      </c>
      <c r="S13" s="19">
        <v>0.140102867145891</v>
      </c>
      <c r="T13" s="19">
        <v>0.000268887854554784</v>
      </c>
      <c r="U13" s="19">
        <v>14.8626048758651</v>
      </c>
      <c r="W13" s="23" t="s">
        <v>65</v>
      </c>
    </row>
    <row r="14" spans="1:23" s="23" customFormat="1" ht="51">
      <c r="A14" s="20" t="s">
        <v>66</v>
      </c>
      <c r="B14" s="34" t="s">
        <v>759</v>
      </c>
      <c r="C14" s="21">
        <v>100</v>
      </c>
      <c r="D14" s="22">
        <v>3</v>
      </c>
      <c r="E14" s="22" t="s">
        <v>67</v>
      </c>
      <c r="F14" s="22" t="s">
        <v>24</v>
      </c>
      <c r="G14" s="22">
        <f>517+452+370+378+895</f>
        <v>2612</v>
      </c>
      <c r="H14" s="22" t="s">
        <v>18</v>
      </c>
      <c r="I14" s="22" t="s">
        <v>19</v>
      </c>
      <c r="J14" s="22">
        <v>23.5</v>
      </c>
      <c r="K14" s="22">
        <v>0.02</v>
      </c>
      <c r="L14" s="22">
        <f>K14/J14</f>
        <v>0.000851063829787234</v>
      </c>
      <c r="M14" s="22" t="s">
        <v>20</v>
      </c>
      <c r="N14" s="22"/>
      <c r="O14" s="19" t="s">
        <v>40</v>
      </c>
      <c r="P14" s="19">
        <v>10</v>
      </c>
      <c r="Q14" s="19">
        <v>-0.482092639160698</v>
      </c>
      <c r="R14" s="19">
        <v>0.592160565034654</v>
      </c>
      <c r="S14" s="19" t="s">
        <v>720</v>
      </c>
      <c r="T14" s="19" t="s">
        <v>720</v>
      </c>
      <c r="U14" s="19" t="s">
        <v>720</v>
      </c>
      <c r="W14" s="23" t="s">
        <v>68</v>
      </c>
    </row>
    <row r="15" spans="1:23" s="5" customFormat="1" ht="51">
      <c r="A15" s="1" t="s">
        <v>69</v>
      </c>
      <c r="B15" s="34" t="s">
        <v>760</v>
      </c>
      <c r="C15" s="4">
        <v>100</v>
      </c>
      <c r="D15" s="3">
        <v>2</v>
      </c>
      <c r="E15" s="3" t="s">
        <v>70</v>
      </c>
      <c r="F15" s="3" t="s">
        <v>17</v>
      </c>
      <c r="G15" s="3">
        <f>971+527</f>
        <v>1498</v>
      </c>
      <c r="H15" s="3" t="s">
        <v>18</v>
      </c>
      <c r="I15" s="3" t="s">
        <v>19</v>
      </c>
      <c r="J15" s="3">
        <v>21.1</v>
      </c>
      <c r="K15" s="3">
        <v>0.01</v>
      </c>
      <c r="L15" s="3">
        <f>K15/J15</f>
        <v>0.0004739336492890995</v>
      </c>
      <c r="M15" s="3" t="s">
        <v>20</v>
      </c>
      <c r="N15" s="22">
        <v>0.0115</v>
      </c>
      <c r="O15" s="2" t="s">
        <v>55</v>
      </c>
      <c r="P15" s="19">
        <v>11</v>
      </c>
      <c r="Q15" s="19">
        <v>-4.07703769906408</v>
      </c>
      <c r="R15" s="19">
        <v>0.029886686428301</v>
      </c>
      <c r="S15" s="19">
        <v>0.48375431459553</v>
      </c>
      <c r="T15" s="19">
        <v>0.0260020263210878</v>
      </c>
      <c r="U15" s="19">
        <v>1.95274545217391</v>
      </c>
      <c r="W15" s="5" t="s">
        <v>71</v>
      </c>
    </row>
    <row r="16" spans="1:23" s="23" customFormat="1" ht="63.75">
      <c r="A16" s="20" t="s">
        <v>72</v>
      </c>
      <c r="B16" s="34" t="s">
        <v>761</v>
      </c>
      <c r="C16" s="21">
        <v>100</v>
      </c>
      <c r="D16" s="22">
        <v>3</v>
      </c>
      <c r="E16" s="22" t="s">
        <v>73</v>
      </c>
      <c r="F16" s="22" t="s">
        <v>24</v>
      </c>
      <c r="G16" s="22">
        <v>2109</v>
      </c>
      <c r="H16" s="22" t="s">
        <v>18</v>
      </c>
      <c r="I16" s="22" t="s">
        <v>74</v>
      </c>
      <c r="J16" s="22">
        <v>3</v>
      </c>
      <c r="K16" s="22">
        <v>0.01</v>
      </c>
      <c r="L16" s="22">
        <f>K16/J16</f>
        <v>0.0033333333333333335</v>
      </c>
      <c r="M16" s="22" t="s">
        <v>20</v>
      </c>
      <c r="N16" s="22"/>
      <c r="O16" s="19" t="s">
        <v>55</v>
      </c>
      <c r="P16" s="19">
        <v>44</v>
      </c>
      <c r="Q16" s="19">
        <v>-4.07136690711116</v>
      </c>
      <c r="R16" s="19">
        <v>0.358601901283482</v>
      </c>
      <c r="S16" s="19" t="s">
        <v>720</v>
      </c>
      <c r="T16" s="19" t="s">
        <v>720</v>
      </c>
      <c r="U16" s="19" t="s">
        <v>720</v>
      </c>
      <c r="W16" s="23" t="s">
        <v>75</v>
      </c>
    </row>
    <row r="17" spans="1:23" s="23" customFormat="1" ht="38.25">
      <c r="A17" s="20" t="s">
        <v>76</v>
      </c>
      <c r="B17" s="34" t="s">
        <v>762</v>
      </c>
      <c r="C17" s="21">
        <f>13/15*100</f>
        <v>86.66666666666667</v>
      </c>
      <c r="D17" s="22">
        <v>3</v>
      </c>
      <c r="E17" s="22" t="s">
        <v>77</v>
      </c>
      <c r="F17" s="22" t="s">
        <v>17</v>
      </c>
      <c r="G17" s="22">
        <f>533+1427</f>
        <v>1960</v>
      </c>
      <c r="H17" s="22" t="s">
        <v>25</v>
      </c>
      <c r="I17" s="22" t="s">
        <v>19</v>
      </c>
      <c r="J17" s="22">
        <v>27.1</v>
      </c>
      <c r="K17" s="22">
        <v>0.1</v>
      </c>
      <c r="L17" s="22">
        <f>K17/J17</f>
        <v>0.0036900369003690036</v>
      </c>
      <c r="M17" s="22" t="s">
        <v>20</v>
      </c>
      <c r="N17" s="22">
        <v>0.0115</v>
      </c>
      <c r="O17" s="19" t="s">
        <v>55</v>
      </c>
      <c r="P17" s="19">
        <v>17</v>
      </c>
      <c r="Q17" s="19">
        <v>0.107533373903443</v>
      </c>
      <c r="R17" s="19">
        <v>1.51242475822855</v>
      </c>
      <c r="S17" s="19">
        <v>0.0886051033353172</v>
      </c>
      <c r="T17" s="19">
        <v>0.000523390955804149</v>
      </c>
      <c r="U17" s="19">
        <v>22.891891561447</v>
      </c>
      <c r="W17" s="23" t="s">
        <v>78</v>
      </c>
    </row>
    <row r="18" spans="1:23" s="23" customFormat="1" ht="38.25">
      <c r="A18" s="20" t="s">
        <v>79</v>
      </c>
      <c r="B18" s="34" t="s">
        <v>763</v>
      </c>
      <c r="C18" s="21">
        <f>8/9*100</f>
        <v>88.88888888888889</v>
      </c>
      <c r="D18" s="22">
        <v>3</v>
      </c>
      <c r="E18" s="22" t="s">
        <v>80</v>
      </c>
      <c r="F18" s="22" t="s">
        <v>17</v>
      </c>
      <c r="G18" s="22">
        <v>2168</v>
      </c>
      <c r="H18" s="22" t="s">
        <v>18</v>
      </c>
      <c r="I18" s="22" t="s">
        <v>81</v>
      </c>
      <c r="J18" s="22">
        <v>1.163</v>
      </c>
      <c r="K18" s="22">
        <v>0.05</v>
      </c>
      <c r="L18" s="22">
        <f>K18/J18</f>
        <v>0.04299226139294927</v>
      </c>
      <c r="M18" s="22" t="s">
        <v>20</v>
      </c>
      <c r="N18" s="22">
        <v>0.0115</v>
      </c>
      <c r="O18" s="19" t="s">
        <v>21</v>
      </c>
      <c r="P18" s="19">
        <v>8</v>
      </c>
      <c r="Q18" s="19">
        <v>0.761448268264282</v>
      </c>
      <c r="R18" s="19">
        <v>1.57968146824795</v>
      </c>
      <c r="S18" s="19">
        <v>0.12624400335634</v>
      </c>
      <c r="T18" s="19">
        <v>0.00265625806390593</v>
      </c>
      <c r="U18" s="19">
        <v>14.6052187531956</v>
      </c>
      <c r="W18" s="23" t="s">
        <v>82</v>
      </c>
    </row>
    <row r="19" spans="1:23" s="23" customFormat="1" ht="38.25">
      <c r="A19" s="20" t="s">
        <v>83</v>
      </c>
      <c r="B19" s="34" t="s">
        <v>763</v>
      </c>
      <c r="C19" s="21">
        <v>100</v>
      </c>
      <c r="D19" s="22">
        <v>4</v>
      </c>
      <c r="E19" s="22" t="s">
        <v>80</v>
      </c>
      <c r="F19" s="22" t="s">
        <v>17</v>
      </c>
      <c r="G19" s="22">
        <v>2168</v>
      </c>
      <c r="H19" s="22" t="s">
        <v>18</v>
      </c>
      <c r="I19" s="22" t="s">
        <v>81</v>
      </c>
      <c r="J19" s="22">
        <v>0.237</v>
      </c>
      <c r="K19" s="22">
        <v>0.01</v>
      </c>
      <c r="L19" s="22">
        <f>K19/J19</f>
        <v>0.042194092827004225</v>
      </c>
      <c r="M19" s="22" t="s">
        <v>20</v>
      </c>
      <c r="N19" s="22">
        <v>0.0115</v>
      </c>
      <c r="O19" s="19" t="s">
        <v>21</v>
      </c>
      <c r="P19" s="19">
        <v>15</v>
      </c>
      <c r="Q19" s="19">
        <v>0.144723103350947</v>
      </c>
      <c r="R19" s="19">
        <v>0.991423538879205</v>
      </c>
      <c r="S19" s="19">
        <v>0.434156351608024</v>
      </c>
      <c r="T19" s="19">
        <v>0.0144993644339684</v>
      </c>
      <c r="U19" s="19">
        <v>5.17714641638315</v>
      </c>
      <c r="W19" s="23" t="s">
        <v>84</v>
      </c>
    </row>
    <row r="20" spans="1:23" s="23" customFormat="1" ht="51">
      <c r="A20" s="20" t="s">
        <v>85</v>
      </c>
      <c r="B20" s="34" t="s">
        <v>764</v>
      </c>
      <c r="C20" s="21">
        <v>100</v>
      </c>
      <c r="D20" s="22">
        <v>3</v>
      </c>
      <c r="E20" s="22" t="s">
        <v>86</v>
      </c>
      <c r="F20" s="22" t="s">
        <v>24</v>
      </c>
      <c r="G20" s="22">
        <f>1870+1073</f>
        <v>2943</v>
      </c>
      <c r="H20" s="22" t="s">
        <v>18</v>
      </c>
      <c r="I20" s="22" t="s">
        <v>87</v>
      </c>
      <c r="J20" s="22">
        <v>1.495</v>
      </c>
      <c r="K20" s="22">
        <v>0.1</v>
      </c>
      <c r="L20" s="22">
        <f>K20/J20</f>
        <v>0.06688963210702341</v>
      </c>
      <c r="M20" s="22" t="s">
        <v>20</v>
      </c>
      <c r="N20" s="22"/>
      <c r="O20" s="19" t="s">
        <v>21</v>
      </c>
      <c r="P20" s="19">
        <v>10</v>
      </c>
      <c r="Q20" s="19">
        <v>0.944484462836333</v>
      </c>
      <c r="R20" s="19">
        <v>1.5500124767678</v>
      </c>
      <c r="S20" s="19" t="s">
        <v>720</v>
      </c>
      <c r="T20" s="19" t="s">
        <v>720</v>
      </c>
      <c r="U20" s="19" t="s">
        <v>720</v>
      </c>
      <c r="W20" s="23" t="s">
        <v>88</v>
      </c>
    </row>
    <row r="21" spans="1:23" s="23" customFormat="1" ht="51">
      <c r="A21" s="20" t="s">
        <v>89</v>
      </c>
      <c r="B21" s="34" t="s">
        <v>765</v>
      </c>
      <c r="C21" s="21">
        <v>100</v>
      </c>
      <c r="D21" s="22">
        <v>3</v>
      </c>
      <c r="E21" s="22" t="s">
        <v>90</v>
      </c>
      <c r="F21" s="22" t="s">
        <v>17</v>
      </c>
      <c r="G21" s="22">
        <v>665</v>
      </c>
      <c r="H21" s="22" t="s">
        <v>18</v>
      </c>
      <c r="I21" s="22" t="s">
        <v>91</v>
      </c>
      <c r="J21" s="22">
        <v>0.265</v>
      </c>
      <c r="K21" s="22">
        <f>0.1/G21</f>
        <v>0.00015037593984962408</v>
      </c>
      <c r="L21" s="22">
        <f>K21/J21</f>
        <v>0.0005674563767910343</v>
      </c>
      <c r="M21" s="22" t="s">
        <v>20</v>
      </c>
      <c r="N21" s="22">
        <v>0.0115</v>
      </c>
      <c r="O21" s="19" t="s">
        <v>55</v>
      </c>
      <c r="P21" s="19">
        <v>4</v>
      </c>
      <c r="Q21" s="19">
        <v>-1.26094534313773</v>
      </c>
      <c r="R21" s="19">
        <v>0.0779016682577379</v>
      </c>
      <c r="S21" s="19">
        <v>2.9987997124223</v>
      </c>
      <c r="T21" s="19">
        <v>4.49639985761204</v>
      </c>
      <c r="U21" s="19">
        <v>0.204968808</v>
      </c>
      <c r="W21" s="23" t="s">
        <v>92</v>
      </c>
    </row>
    <row r="22" spans="1:23" s="23" customFormat="1" ht="51">
      <c r="A22" s="20" t="s">
        <v>93</v>
      </c>
      <c r="B22" s="34" t="s">
        <v>766</v>
      </c>
      <c r="C22" s="21">
        <v>100</v>
      </c>
      <c r="D22" s="22">
        <v>3</v>
      </c>
      <c r="E22" s="22" t="s">
        <v>94</v>
      </c>
      <c r="F22" s="22" t="s">
        <v>24</v>
      </c>
      <c r="G22" s="22">
        <v>2172</v>
      </c>
      <c r="H22" s="22" t="s">
        <v>25</v>
      </c>
      <c r="I22" s="22" t="s">
        <v>19</v>
      </c>
      <c r="J22" s="22">
        <v>1.236</v>
      </c>
      <c r="K22" s="22">
        <v>0.1</v>
      </c>
      <c r="L22" s="22">
        <f>K22/J22</f>
        <v>0.08090614886731393</v>
      </c>
      <c r="M22" s="22" t="s">
        <v>20</v>
      </c>
      <c r="N22" s="22"/>
      <c r="O22" s="19" t="s">
        <v>21</v>
      </c>
      <c r="P22" s="19">
        <v>38</v>
      </c>
      <c r="Q22" s="19">
        <v>-2.69170609956372</v>
      </c>
      <c r="R22" s="19">
        <v>0.458024745849577</v>
      </c>
      <c r="S22" s="19" t="s">
        <v>720</v>
      </c>
      <c r="T22" s="19" t="s">
        <v>720</v>
      </c>
      <c r="U22" s="19" t="s">
        <v>720</v>
      </c>
      <c r="W22" s="23" t="s">
        <v>95</v>
      </c>
    </row>
    <row r="23" spans="1:23" s="23" customFormat="1" ht="51">
      <c r="A23" s="20" t="s">
        <v>96</v>
      </c>
      <c r="B23" s="34" t="s">
        <v>735</v>
      </c>
      <c r="C23" s="21">
        <f>17/34*100</f>
        <v>50</v>
      </c>
      <c r="D23" s="22">
        <v>3</v>
      </c>
      <c r="E23" s="22" t="s">
        <v>97</v>
      </c>
      <c r="F23" s="22" t="s">
        <v>24</v>
      </c>
      <c r="G23" s="22">
        <v>3330</v>
      </c>
      <c r="H23" s="22" t="s">
        <v>25</v>
      </c>
      <c r="I23" s="22" t="s">
        <v>19</v>
      </c>
      <c r="J23" s="22">
        <v>1.305</v>
      </c>
      <c r="K23" s="22">
        <v>0.1</v>
      </c>
      <c r="L23" s="22">
        <f>K23/J23</f>
        <v>0.07662835249042146</v>
      </c>
      <c r="M23" s="22" t="s">
        <v>20</v>
      </c>
      <c r="N23" s="22"/>
      <c r="O23" s="19" t="s">
        <v>55</v>
      </c>
      <c r="P23" s="19">
        <v>17</v>
      </c>
      <c r="Q23" s="19">
        <v>-1.21417979625225</v>
      </c>
      <c r="R23" s="19">
        <v>0.652089388003753</v>
      </c>
      <c r="S23" s="19" t="s">
        <v>720</v>
      </c>
      <c r="T23" s="19" t="s">
        <v>720</v>
      </c>
      <c r="U23" s="19" t="s">
        <v>720</v>
      </c>
      <c r="W23" s="23" t="s">
        <v>98</v>
      </c>
    </row>
    <row r="24" spans="1:23" s="23" customFormat="1" ht="51">
      <c r="A24" s="20" t="s">
        <v>99</v>
      </c>
      <c r="B24" s="34" t="s">
        <v>767</v>
      </c>
      <c r="C24" s="21">
        <v>85</v>
      </c>
      <c r="D24" s="22">
        <v>5</v>
      </c>
      <c r="E24" s="22" t="s">
        <v>100</v>
      </c>
      <c r="F24" s="22" t="s">
        <v>24</v>
      </c>
      <c r="G24" s="22">
        <f>174+637+755+1020</f>
        <v>2586</v>
      </c>
      <c r="H24" s="22" t="s">
        <v>18</v>
      </c>
      <c r="I24" s="22" t="s">
        <v>19</v>
      </c>
      <c r="J24" s="22">
        <v>4.4</v>
      </c>
      <c r="K24" s="22">
        <v>50</v>
      </c>
      <c r="L24" s="22">
        <f>K24/J24</f>
        <v>11.363636363636363</v>
      </c>
      <c r="M24" s="22" t="s">
        <v>30</v>
      </c>
      <c r="N24" s="22">
        <v>1</v>
      </c>
      <c r="O24" s="19" t="s">
        <v>55</v>
      </c>
      <c r="P24" s="19">
        <v>14</v>
      </c>
      <c r="Q24" s="19">
        <v>-0.676155326812506</v>
      </c>
      <c r="R24" s="19">
        <v>0.592847068361199</v>
      </c>
      <c r="S24" s="19">
        <v>0.0697904963543665</v>
      </c>
      <c r="T24" s="19">
        <v>0.000405892781782404</v>
      </c>
      <c r="U24" s="19">
        <v>28.3638139113781</v>
      </c>
      <c r="W24" s="23" t="s">
        <v>101</v>
      </c>
    </row>
    <row r="25" spans="1:23" s="23" customFormat="1" ht="51">
      <c r="A25" s="20" t="s">
        <v>102</v>
      </c>
      <c r="B25" s="34" t="s">
        <v>736</v>
      </c>
      <c r="C25" s="21">
        <v>100</v>
      </c>
      <c r="D25" s="22">
        <v>4</v>
      </c>
      <c r="E25" s="22" t="s">
        <v>103</v>
      </c>
      <c r="F25" s="22" t="s">
        <v>17</v>
      </c>
      <c r="G25" s="22">
        <v>2243</v>
      </c>
      <c r="H25" s="22" t="s">
        <v>18</v>
      </c>
      <c r="I25" s="22" t="s">
        <v>19</v>
      </c>
      <c r="J25" s="22">
        <v>0.136</v>
      </c>
      <c r="K25" s="22">
        <v>0.01</v>
      </c>
      <c r="L25" s="22">
        <f>K25/J25</f>
        <v>0.07352941176470588</v>
      </c>
      <c r="M25" s="22" t="s">
        <v>20</v>
      </c>
      <c r="N25" s="22">
        <v>0.0115</v>
      </c>
      <c r="O25" s="19" t="s">
        <v>21</v>
      </c>
      <c r="P25" s="19">
        <v>12</v>
      </c>
      <c r="Q25" s="19">
        <v>-3.04839914933604</v>
      </c>
      <c r="R25" s="19">
        <v>0.121102549665469</v>
      </c>
      <c r="S25" s="19">
        <v>0.18693477224644</v>
      </c>
      <c r="T25" s="19">
        <v>0.00349446090748285</v>
      </c>
      <c r="U25" s="19">
        <v>6.51020022863315</v>
      </c>
      <c r="W25" s="23" t="s">
        <v>104</v>
      </c>
    </row>
    <row r="26" spans="1:23" s="23" customFormat="1" ht="63.75">
      <c r="A26" s="20" t="s">
        <v>105</v>
      </c>
      <c r="B26" s="34" t="s">
        <v>768</v>
      </c>
      <c r="C26" s="21">
        <v>100</v>
      </c>
      <c r="D26" s="22" t="s">
        <v>23</v>
      </c>
      <c r="E26" s="22" t="s">
        <v>106</v>
      </c>
      <c r="F26" s="22" t="s">
        <v>24</v>
      </c>
      <c r="G26" s="22">
        <f>1140+1222</f>
        <v>2362</v>
      </c>
      <c r="H26" s="22" t="s">
        <v>18</v>
      </c>
      <c r="I26" s="22" t="s">
        <v>19</v>
      </c>
      <c r="J26" s="22">
        <v>1.284</v>
      </c>
      <c r="K26" s="22">
        <v>0.1</v>
      </c>
      <c r="L26" s="22">
        <f>K26/J26</f>
        <v>0.07788161993769471</v>
      </c>
      <c r="M26" s="22" t="s">
        <v>20</v>
      </c>
      <c r="N26" s="22"/>
      <c r="O26" s="19" t="s">
        <v>21</v>
      </c>
      <c r="P26" s="19">
        <v>12</v>
      </c>
      <c r="Q26" s="19">
        <v>-2.78108968428207</v>
      </c>
      <c r="R26" s="19">
        <v>0.140961941780785</v>
      </c>
      <c r="S26" s="19" t="s">
        <v>720</v>
      </c>
      <c r="T26" s="19" t="s">
        <v>720</v>
      </c>
      <c r="U26" s="19" t="s">
        <v>720</v>
      </c>
      <c r="W26" s="23" t="s">
        <v>107</v>
      </c>
    </row>
    <row r="27" spans="1:23" s="23" customFormat="1" ht="38.25">
      <c r="A27" s="20" t="s">
        <v>108</v>
      </c>
      <c r="B27" s="34" t="s">
        <v>769</v>
      </c>
      <c r="C27" s="21">
        <v>100</v>
      </c>
      <c r="D27" s="22">
        <v>2</v>
      </c>
      <c r="E27" s="22" t="s">
        <v>109</v>
      </c>
      <c r="F27" s="22" t="s">
        <v>17</v>
      </c>
      <c r="G27" s="22">
        <v>416</v>
      </c>
      <c r="H27" s="22" t="s">
        <v>25</v>
      </c>
      <c r="I27" s="22" t="s">
        <v>87</v>
      </c>
      <c r="J27" s="22">
        <v>0.481</v>
      </c>
      <c r="K27" s="22">
        <f>10/416</f>
        <v>0.02403846153846154</v>
      </c>
      <c r="L27" s="22">
        <f>K27/J27</f>
        <v>0.049976011514473055</v>
      </c>
      <c r="M27" s="22" t="s">
        <v>20</v>
      </c>
      <c r="N27" s="22">
        <v>0.0115</v>
      </c>
      <c r="O27" s="19" t="s">
        <v>40</v>
      </c>
      <c r="P27" s="19">
        <v>24</v>
      </c>
      <c r="Q27" s="19">
        <v>-1.96372891870694</v>
      </c>
      <c r="R27" s="19">
        <v>0.369402226722673</v>
      </c>
      <c r="S27" s="19">
        <v>0.241399960699175</v>
      </c>
      <c r="T27" s="19">
        <v>0.00264881550116197</v>
      </c>
      <c r="U27" s="19">
        <v>9.62126503847282</v>
      </c>
      <c r="W27" s="23" t="s">
        <v>110</v>
      </c>
    </row>
    <row r="28" spans="1:23" s="23" customFormat="1" ht="51">
      <c r="A28" s="20" t="s">
        <v>111</v>
      </c>
      <c r="B28" s="34" t="s">
        <v>770</v>
      </c>
      <c r="C28" s="21">
        <f>16/33*100</f>
        <v>48.484848484848484</v>
      </c>
      <c r="D28" s="22">
        <v>4</v>
      </c>
      <c r="E28" s="22" t="s">
        <v>112</v>
      </c>
      <c r="F28" s="22" t="s">
        <v>17</v>
      </c>
      <c r="G28" s="22">
        <f>780+887</f>
        <v>1667</v>
      </c>
      <c r="H28" s="22" t="s">
        <v>18</v>
      </c>
      <c r="I28" s="22" t="s">
        <v>87</v>
      </c>
      <c r="J28" s="22">
        <v>0.295</v>
      </c>
      <c r="K28" s="22">
        <v>0.01</v>
      </c>
      <c r="L28" s="22">
        <f>K28/J28</f>
        <v>0.03389830508474576</v>
      </c>
      <c r="M28" s="22" t="s">
        <v>20</v>
      </c>
      <c r="N28" s="22">
        <v>0.0115</v>
      </c>
      <c r="O28" s="19" t="s">
        <v>21</v>
      </c>
      <c r="P28" s="19">
        <v>12</v>
      </c>
      <c r="Q28" s="19">
        <v>-3.44419450734013</v>
      </c>
      <c r="R28" s="19">
        <v>0.0685328455315774</v>
      </c>
      <c r="S28" s="19">
        <v>0.367749017409813</v>
      </c>
      <c r="T28" s="19">
        <v>0.0135239339805882</v>
      </c>
      <c r="U28" s="19">
        <v>3.04728567157608</v>
      </c>
      <c r="W28" s="23" t="s">
        <v>113</v>
      </c>
    </row>
    <row r="29" spans="1:23" s="23" customFormat="1" ht="51">
      <c r="A29" s="20" t="s">
        <v>114</v>
      </c>
      <c r="B29" s="34" t="s">
        <v>771</v>
      </c>
      <c r="C29" s="21">
        <f>12/13*100</f>
        <v>92.3076923076923</v>
      </c>
      <c r="D29" s="22">
        <v>4</v>
      </c>
      <c r="E29" s="22" t="s">
        <v>115</v>
      </c>
      <c r="F29" s="22" t="s">
        <v>17</v>
      </c>
      <c r="G29" s="22">
        <f>635+446</f>
        <v>1081</v>
      </c>
      <c r="H29" s="22" t="s">
        <v>18</v>
      </c>
      <c r="I29" s="22" t="s">
        <v>116</v>
      </c>
      <c r="J29" s="22">
        <v>0.185</v>
      </c>
      <c r="K29" s="22">
        <v>0.01</v>
      </c>
      <c r="L29" s="22">
        <f>K29/J29</f>
        <v>0.05405405405405406</v>
      </c>
      <c r="M29" s="22" t="s">
        <v>20</v>
      </c>
      <c r="N29" s="22">
        <v>0.0115</v>
      </c>
      <c r="O29" s="19" t="s">
        <v>55</v>
      </c>
      <c r="P29" s="19">
        <v>13</v>
      </c>
      <c r="Q29" s="19">
        <v>-0.881155177496339</v>
      </c>
      <c r="R29" s="19">
        <v>0.460956072435724</v>
      </c>
      <c r="S29" s="19">
        <v>0.395974059674699</v>
      </c>
      <c r="T29" s="19">
        <v>0.0142541323577511</v>
      </c>
      <c r="U29" s="19">
        <v>4.75831741592323</v>
      </c>
      <c r="W29" s="23" t="s">
        <v>117</v>
      </c>
    </row>
    <row r="30" spans="1:23" s="23" customFormat="1" ht="51">
      <c r="A30" s="20" t="s">
        <v>118</v>
      </c>
      <c r="B30" s="34" t="s">
        <v>772</v>
      </c>
      <c r="C30" s="21">
        <f>35/69*100</f>
        <v>50.72463768115942</v>
      </c>
      <c r="D30" s="22">
        <v>2</v>
      </c>
      <c r="E30" s="22" t="s">
        <v>119</v>
      </c>
      <c r="F30" s="22" t="s">
        <v>17</v>
      </c>
      <c r="G30" s="22">
        <f>1810</f>
        <v>1810</v>
      </c>
      <c r="H30" s="22" t="s">
        <v>18</v>
      </c>
      <c r="I30" s="22" t="s">
        <v>19</v>
      </c>
      <c r="J30" s="22">
        <v>0.491</v>
      </c>
      <c r="K30" s="22">
        <v>0.05</v>
      </c>
      <c r="L30" s="22">
        <f>K30/J30</f>
        <v>0.10183299389002037</v>
      </c>
      <c r="M30" s="22" t="s">
        <v>20</v>
      </c>
      <c r="N30" s="22">
        <v>0.0115</v>
      </c>
      <c r="O30" s="19" t="s">
        <v>21</v>
      </c>
      <c r="P30" s="19">
        <v>56</v>
      </c>
      <c r="Q30" s="19">
        <v>-3.62105310680852</v>
      </c>
      <c r="R30" s="19">
        <v>0.451257414933086</v>
      </c>
      <c r="S30" s="19">
        <v>0.114554347839653</v>
      </c>
      <c r="T30" s="19">
        <v>0.000243012937203118</v>
      </c>
      <c r="U30" s="19">
        <v>17.972971081753</v>
      </c>
      <c r="W30" s="23" t="s">
        <v>120</v>
      </c>
    </row>
    <row r="31" spans="1:23" s="23" customFormat="1" ht="51">
      <c r="A31" s="20" t="s">
        <v>121</v>
      </c>
      <c r="B31" s="34" t="s">
        <v>773</v>
      </c>
      <c r="C31" s="21">
        <f>62/96*100</f>
        <v>64.58333333333334</v>
      </c>
      <c r="D31" s="22">
        <v>2</v>
      </c>
      <c r="E31" s="22" t="s">
        <v>122</v>
      </c>
      <c r="F31" s="22" t="s">
        <v>123</v>
      </c>
      <c r="G31" s="22" t="s">
        <v>124</v>
      </c>
      <c r="H31" s="22" t="s">
        <v>18</v>
      </c>
      <c r="I31" s="22" t="s">
        <v>19</v>
      </c>
      <c r="J31" s="22">
        <v>0.171</v>
      </c>
      <c r="K31" s="22">
        <v>0.005</v>
      </c>
      <c r="L31" s="22">
        <f>K31/J31</f>
        <v>0.029239766081871343</v>
      </c>
      <c r="M31" s="22" t="s">
        <v>20</v>
      </c>
      <c r="N31" s="3">
        <v>0.00305</v>
      </c>
      <c r="O31" s="19" t="s">
        <v>125</v>
      </c>
      <c r="P31" s="19">
        <v>60</v>
      </c>
      <c r="Q31" s="19">
        <v>-0.722698871644098</v>
      </c>
      <c r="R31" s="19">
        <v>0.952978835322062</v>
      </c>
      <c r="S31" s="19">
        <v>0.729655041359455</v>
      </c>
      <c r="T31" s="19">
        <v>0.00917924964450462</v>
      </c>
      <c r="U31" s="19">
        <v>2.87758804982272</v>
      </c>
      <c r="W31" s="23" t="s">
        <v>126</v>
      </c>
    </row>
    <row r="32" spans="1:23" s="23" customFormat="1" ht="38.25">
      <c r="A32" s="20" t="s">
        <v>127</v>
      </c>
      <c r="B32" s="34" t="s">
        <v>774</v>
      </c>
      <c r="C32" s="21">
        <f>43/49*100</f>
        <v>87.75510204081633</v>
      </c>
      <c r="D32" s="22">
        <v>2</v>
      </c>
      <c r="E32" s="22" t="s">
        <v>128</v>
      </c>
      <c r="F32" s="22" t="s">
        <v>17</v>
      </c>
      <c r="G32" s="22">
        <f>1143+330</f>
        <v>1473</v>
      </c>
      <c r="H32" s="22" t="s">
        <v>25</v>
      </c>
      <c r="I32" s="22" t="s">
        <v>19</v>
      </c>
      <c r="J32" s="22" t="s">
        <v>34</v>
      </c>
      <c r="K32" s="22"/>
      <c r="L32" s="22"/>
      <c r="M32" s="22"/>
      <c r="N32" s="22"/>
      <c r="O32" s="19" t="s">
        <v>21</v>
      </c>
      <c r="P32" s="19">
        <v>43</v>
      </c>
      <c r="Q32" s="19">
        <v>-3.69908002637391</v>
      </c>
      <c r="R32" s="19">
        <v>0.380133452494751</v>
      </c>
      <c r="S32" s="19" t="s">
        <v>720</v>
      </c>
      <c r="T32" s="19" t="s">
        <v>720</v>
      </c>
      <c r="U32" s="19" t="s">
        <v>720</v>
      </c>
      <c r="W32" s="23" t="s">
        <v>129</v>
      </c>
    </row>
    <row r="33" spans="1:23" s="23" customFormat="1" ht="51">
      <c r="A33" s="20" t="s">
        <v>130</v>
      </c>
      <c r="B33" s="34" t="s">
        <v>775</v>
      </c>
      <c r="C33" s="21">
        <f>11/14*100</f>
        <v>78.57142857142857</v>
      </c>
      <c r="D33" s="22">
        <v>5</v>
      </c>
      <c r="E33" s="22" t="s">
        <v>43</v>
      </c>
      <c r="F33" s="22" t="s">
        <v>17</v>
      </c>
      <c r="G33" s="22">
        <v>1140</v>
      </c>
      <c r="H33" s="22" t="s">
        <v>18</v>
      </c>
      <c r="I33" s="22" t="s">
        <v>131</v>
      </c>
      <c r="J33" s="22">
        <v>0.957</v>
      </c>
      <c r="K33" s="22">
        <v>0.005</v>
      </c>
      <c r="L33" s="22">
        <f>K33/J33</f>
        <v>0.00522466039707419</v>
      </c>
      <c r="M33" s="22" t="s">
        <v>20</v>
      </c>
      <c r="N33" s="22">
        <v>0.0115</v>
      </c>
      <c r="O33" s="19" t="s">
        <v>21</v>
      </c>
      <c r="P33" s="19">
        <v>11</v>
      </c>
      <c r="Q33" s="19">
        <v>-0.920730217711099</v>
      </c>
      <c r="R33" s="19">
        <v>0.451109096021037</v>
      </c>
      <c r="S33" s="19">
        <v>0.64982455324102</v>
      </c>
      <c r="T33" s="19">
        <v>0.046919105554988</v>
      </c>
      <c r="U33" s="19">
        <v>2.23172487695652</v>
      </c>
      <c r="W33" s="23" t="s">
        <v>132</v>
      </c>
    </row>
    <row r="34" spans="1:23" s="23" customFormat="1" ht="63.75">
      <c r="A34" s="20" t="s">
        <v>133</v>
      </c>
      <c r="B34" s="34" t="s">
        <v>776</v>
      </c>
      <c r="C34" s="21">
        <v>100</v>
      </c>
      <c r="D34" s="22">
        <v>2</v>
      </c>
      <c r="E34" s="22" t="s">
        <v>134</v>
      </c>
      <c r="F34" s="22" t="s">
        <v>17</v>
      </c>
      <c r="G34" s="22">
        <v>1075</v>
      </c>
      <c r="H34" s="22" t="s">
        <v>18</v>
      </c>
      <c r="I34" s="22" t="s">
        <v>19</v>
      </c>
      <c r="J34" s="22">
        <v>0.21</v>
      </c>
      <c r="K34" s="22">
        <v>0.01</v>
      </c>
      <c r="L34" s="22">
        <f>K34/J34</f>
        <v>0.04761904761904762</v>
      </c>
      <c r="M34" s="22" t="s">
        <v>20</v>
      </c>
      <c r="N34" s="22">
        <v>0.0115</v>
      </c>
      <c r="O34" s="19" t="s">
        <v>21</v>
      </c>
      <c r="P34" s="19">
        <v>6</v>
      </c>
      <c r="Q34" s="19">
        <v>-0.963748114717312</v>
      </c>
      <c r="R34" s="19">
        <v>0.327178947453456</v>
      </c>
      <c r="S34" s="19">
        <v>0.334111540777172</v>
      </c>
      <c r="T34" s="19">
        <v>0.027907630420124</v>
      </c>
      <c r="U34" s="19">
        <v>2.92650105860869</v>
      </c>
      <c r="W34" s="23" t="s">
        <v>135</v>
      </c>
    </row>
    <row r="35" spans="1:23" s="23" customFormat="1" ht="38.25">
      <c r="A35" s="20" t="s">
        <v>136</v>
      </c>
      <c r="B35" s="34" t="s">
        <v>777</v>
      </c>
      <c r="C35" s="21">
        <f>28/30*100</f>
        <v>93.33333333333333</v>
      </c>
      <c r="D35" s="22">
        <v>4</v>
      </c>
      <c r="E35" s="22" t="s">
        <v>43</v>
      </c>
      <c r="F35" s="22" t="s">
        <v>17</v>
      </c>
      <c r="G35" s="22">
        <v>1140</v>
      </c>
      <c r="H35" s="22" t="s">
        <v>18</v>
      </c>
      <c r="I35" s="22" t="s">
        <v>19</v>
      </c>
      <c r="J35" s="22">
        <v>2.905</v>
      </c>
      <c r="K35" s="22">
        <v>12</v>
      </c>
      <c r="L35" s="22">
        <f>K35/J35</f>
        <v>4.130808950086059</v>
      </c>
      <c r="M35" s="22" t="s">
        <v>30</v>
      </c>
      <c r="N35" s="22">
        <v>1</v>
      </c>
      <c r="O35" s="19" t="s">
        <v>21</v>
      </c>
      <c r="P35" s="19">
        <v>25</v>
      </c>
      <c r="Q35" s="19">
        <v>-2.20093465441926</v>
      </c>
      <c r="R35" s="19">
        <v>0.473512502266094</v>
      </c>
      <c r="S35" s="19">
        <v>0.144658785834831</v>
      </c>
      <c r="T35" s="19">
        <v>0.000909833231269898</v>
      </c>
      <c r="U35" s="19">
        <v>11.6145116176582</v>
      </c>
      <c r="W35" s="23" t="s">
        <v>137</v>
      </c>
    </row>
    <row r="36" spans="1:23" s="23" customFormat="1" ht="63.75">
      <c r="A36" s="20" t="s">
        <v>138</v>
      </c>
      <c r="B36" s="34" t="s">
        <v>778</v>
      </c>
      <c r="C36" s="21">
        <v>100</v>
      </c>
      <c r="D36" s="22" t="s">
        <v>139</v>
      </c>
      <c r="E36" s="22" t="s">
        <v>140</v>
      </c>
      <c r="F36" s="22" t="s">
        <v>17</v>
      </c>
      <c r="G36" s="22">
        <f>661+1107</f>
        <v>1768</v>
      </c>
      <c r="H36" s="22" t="s">
        <v>18</v>
      </c>
      <c r="I36" s="22" t="s">
        <v>87</v>
      </c>
      <c r="J36" s="22">
        <v>0.447</v>
      </c>
      <c r="K36" s="22">
        <v>0.005</v>
      </c>
      <c r="L36" s="22">
        <f>K36/J36</f>
        <v>0.011185682326621925</v>
      </c>
      <c r="M36" s="22" t="s">
        <v>20</v>
      </c>
      <c r="N36" s="22">
        <v>0.0115</v>
      </c>
      <c r="O36" s="19" t="s">
        <v>21</v>
      </c>
      <c r="P36" s="19">
        <v>10</v>
      </c>
      <c r="Q36" s="19">
        <v>-1.35185665260189</v>
      </c>
      <c r="R36" s="19">
        <v>0.466317315601866</v>
      </c>
      <c r="S36" s="19">
        <v>0.358570489266129</v>
      </c>
      <c r="T36" s="19">
        <v>0.0160715994715689</v>
      </c>
      <c r="U36" s="19">
        <v>3.52906240708333</v>
      </c>
      <c r="W36" s="23" t="s">
        <v>141</v>
      </c>
    </row>
    <row r="37" spans="1:23" s="23" customFormat="1" ht="63.75">
      <c r="A37" s="20" t="s">
        <v>142</v>
      </c>
      <c r="B37" s="34" t="s">
        <v>779</v>
      </c>
      <c r="C37" s="21">
        <f>17/24*100</f>
        <v>70.83333333333334</v>
      </c>
      <c r="D37" s="22">
        <v>4</v>
      </c>
      <c r="E37" s="22" t="s">
        <v>128</v>
      </c>
      <c r="F37" s="22" t="s">
        <v>17</v>
      </c>
      <c r="G37" s="22">
        <f>684+1024</f>
        <v>1708</v>
      </c>
      <c r="H37" s="22" t="s">
        <v>18</v>
      </c>
      <c r="I37" s="22" t="s">
        <v>19</v>
      </c>
      <c r="J37" s="22">
        <v>0.232</v>
      </c>
      <c r="K37" s="22">
        <v>0.01</v>
      </c>
      <c r="L37" s="22">
        <f>K37/J37</f>
        <v>0.043103448275862065</v>
      </c>
      <c r="M37" s="22" t="s">
        <v>20</v>
      </c>
      <c r="N37" s="22">
        <v>0.0115</v>
      </c>
      <c r="O37" s="19" t="s">
        <v>21</v>
      </c>
      <c r="P37" s="19">
        <v>6</v>
      </c>
      <c r="Q37" s="19">
        <v>-0.985953649327413</v>
      </c>
      <c r="R37" s="19">
        <v>0.293866497350729</v>
      </c>
      <c r="S37" s="19">
        <v>0.0791045887502838</v>
      </c>
      <c r="T37" s="19">
        <v>0.00156438399033788</v>
      </c>
      <c r="U37" s="19">
        <v>12.7045070401304</v>
      </c>
      <c r="W37" s="23" t="s">
        <v>143</v>
      </c>
    </row>
    <row r="38" spans="1:23" s="23" customFormat="1" ht="51">
      <c r="A38" s="20" t="s">
        <v>144</v>
      </c>
      <c r="B38" s="34" t="s">
        <v>780</v>
      </c>
      <c r="C38" s="21">
        <v>100</v>
      </c>
      <c r="D38" s="22">
        <v>2</v>
      </c>
      <c r="E38" s="22" t="s">
        <v>145</v>
      </c>
      <c r="F38" s="22" t="s">
        <v>17</v>
      </c>
      <c r="G38" s="22">
        <v>2051</v>
      </c>
      <c r="H38" s="22" t="s">
        <v>54</v>
      </c>
      <c r="I38" s="22"/>
      <c r="J38" s="22">
        <v>0.859</v>
      </c>
      <c r="K38" s="22">
        <v>0.002</v>
      </c>
      <c r="L38" s="22">
        <f>K38/J38</f>
        <v>0.002328288707799767</v>
      </c>
      <c r="M38" s="22" t="s">
        <v>20</v>
      </c>
      <c r="N38" s="22">
        <v>0.0115</v>
      </c>
      <c r="O38" s="19" t="s">
        <v>55</v>
      </c>
      <c r="P38" s="19">
        <v>6</v>
      </c>
      <c r="Q38" s="19">
        <v>1.01442167244697</v>
      </c>
      <c r="R38" s="19">
        <v>2.46923009173833</v>
      </c>
      <c r="S38" s="19">
        <v>2.17014471885949</v>
      </c>
      <c r="T38" s="19">
        <v>1.17738202519843</v>
      </c>
      <c r="U38" s="19">
        <v>0.579440271130434</v>
      </c>
      <c r="W38" s="23" t="s">
        <v>146</v>
      </c>
    </row>
    <row r="39" spans="1:23" s="23" customFormat="1" ht="25.5">
      <c r="A39" s="20" t="s">
        <v>147</v>
      </c>
      <c r="B39" s="34" t="s">
        <v>781</v>
      </c>
      <c r="C39" s="21">
        <f>58/(58+8)*100</f>
        <v>87.87878787878788</v>
      </c>
      <c r="D39" s="22">
        <v>1</v>
      </c>
      <c r="E39" s="22" t="s">
        <v>148</v>
      </c>
      <c r="F39" s="22" t="s">
        <v>17</v>
      </c>
      <c r="G39" s="22">
        <v>2000</v>
      </c>
      <c r="H39" s="22" t="s">
        <v>18</v>
      </c>
      <c r="I39" s="22" t="s">
        <v>19</v>
      </c>
      <c r="J39" s="22">
        <v>0.166</v>
      </c>
      <c r="K39" s="22">
        <v>0.01</v>
      </c>
      <c r="L39" s="22">
        <f>K39/J39</f>
        <v>0.060240963855421686</v>
      </c>
      <c r="M39" s="22" t="s">
        <v>20</v>
      </c>
      <c r="N39" s="22">
        <v>0.0115</v>
      </c>
      <c r="O39" s="19" t="s">
        <v>21</v>
      </c>
      <c r="P39" s="19">
        <v>57</v>
      </c>
      <c r="Q39" s="19">
        <v>-2.79537787623607</v>
      </c>
      <c r="R39" s="19">
        <v>0.494312968778755</v>
      </c>
      <c r="S39" s="19">
        <v>0.270270389196744</v>
      </c>
      <c r="T39" s="19">
        <v>0.00132811060502836</v>
      </c>
      <c r="U39" s="19">
        <v>9.01652126967527</v>
      </c>
      <c r="W39" s="23" t="s">
        <v>149</v>
      </c>
    </row>
    <row r="40" spans="1:23" s="23" customFormat="1" ht="38.25">
      <c r="A40" s="20" t="s">
        <v>150</v>
      </c>
      <c r="B40" s="34" t="s">
        <v>782</v>
      </c>
      <c r="C40" s="21">
        <f>17/29*100</f>
        <v>58.620689655172406</v>
      </c>
      <c r="D40" s="22" t="s">
        <v>151</v>
      </c>
      <c r="E40" s="22" t="s">
        <v>152</v>
      </c>
      <c r="F40" s="22" t="s">
        <v>17</v>
      </c>
      <c r="G40" s="22">
        <v>2300</v>
      </c>
      <c r="H40" s="22" t="s">
        <v>18</v>
      </c>
      <c r="I40" s="22" t="s">
        <v>19</v>
      </c>
      <c r="J40" s="22">
        <v>1.56</v>
      </c>
      <c r="K40" s="22">
        <v>0.1</v>
      </c>
      <c r="L40" s="22">
        <f>K40/J40</f>
        <v>0.06410256410256411</v>
      </c>
      <c r="M40" s="22" t="s">
        <v>20</v>
      </c>
      <c r="N40" s="22">
        <v>0.0115</v>
      </c>
      <c r="O40" s="19" t="s">
        <v>55</v>
      </c>
      <c r="P40" s="19">
        <v>19</v>
      </c>
      <c r="Q40" s="19">
        <v>-0.700603602147145</v>
      </c>
      <c r="R40" s="19">
        <v>0.663676207889584</v>
      </c>
      <c r="S40" s="19">
        <v>0.446708343059488</v>
      </c>
      <c r="T40" s="19">
        <v>0.0117381378681737</v>
      </c>
      <c r="U40" s="19">
        <v>5.08183745354687</v>
      </c>
      <c r="W40" s="23" t="s">
        <v>153</v>
      </c>
    </row>
    <row r="41" spans="1:23" s="23" customFormat="1" ht="63.75">
      <c r="A41" s="20" t="s">
        <v>154</v>
      </c>
      <c r="B41" s="34" t="s">
        <v>783</v>
      </c>
      <c r="C41" s="21">
        <v>80</v>
      </c>
      <c r="D41" s="22">
        <v>2</v>
      </c>
      <c r="E41" s="22" t="s">
        <v>43</v>
      </c>
      <c r="F41" s="22" t="s">
        <v>17</v>
      </c>
      <c r="G41" s="22">
        <v>1140</v>
      </c>
      <c r="H41" s="22" t="s">
        <v>18</v>
      </c>
      <c r="I41" s="22" t="s">
        <v>155</v>
      </c>
      <c r="J41" s="22">
        <v>0.144</v>
      </c>
      <c r="K41" s="22">
        <v>0.01</v>
      </c>
      <c r="L41" s="22">
        <f>K41/J41</f>
        <v>0.06944444444444445</v>
      </c>
      <c r="M41" s="22" t="s">
        <v>20</v>
      </c>
      <c r="N41" s="22">
        <v>0.0115</v>
      </c>
      <c r="O41" s="19" t="s">
        <v>21</v>
      </c>
      <c r="P41" s="19">
        <v>14</v>
      </c>
      <c r="Q41" s="19">
        <v>-2.01023245323446</v>
      </c>
      <c r="R41" s="19">
        <v>0.368488139264405</v>
      </c>
      <c r="S41" s="19">
        <v>0.16135372747369</v>
      </c>
      <c r="T41" s="19">
        <v>0.00216958544747117</v>
      </c>
      <c r="U41" s="19">
        <v>9.87742378273188</v>
      </c>
      <c r="W41" s="23" t="s">
        <v>156</v>
      </c>
    </row>
    <row r="42" spans="1:23" s="23" customFormat="1" ht="38.25">
      <c r="A42" s="20" t="s">
        <v>157</v>
      </c>
      <c r="B42" s="34" t="s">
        <v>784</v>
      </c>
      <c r="C42" s="21">
        <f>15/17*100</f>
        <v>88.23529411764706</v>
      </c>
      <c r="D42" s="22">
        <v>2</v>
      </c>
      <c r="E42" s="22" t="s">
        <v>158</v>
      </c>
      <c r="F42" s="22" t="s">
        <v>17</v>
      </c>
      <c r="G42" s="22">
        <v>1956</v>
      </c>
      <c r="H42" s="22" t="s">
        <v>18</v>
      </c>
      <c r="I42" s="22" t="s">
        <v>19</v>
      </c>
      <c r="J42" s="22">
        <v>0.39</v>
      </c>
      <c r="K42" s="22">
        <v>0.05</v>
      </c>
      <c r="L42" s="22">
        <f>K42/J42</f>
        <v>0.12820512820512822</v>
      </c>
      <c r="M42" s="22" t="s">
        <v>20</v>
      </c>
      <c r="N42" s="22">
        <v>0.0115</v>
      </c>
      <c r="O42" s="19" t="s">
        <v>21</v>
      </c>
      <c r="P42" s="19">
        <v>9</v>
      </c>
      <c r="Q42" s="19">
        <v>-0.599281127467425</v>
      </c>
      <c r="R42" s="19">
        <v>0.813557683897973</v>
      </c>
      <c r="S42" s="19">
        <v>0.0756278230659006</v>
      </c>
      <c r="T42" s="19">
        <v>0.000817081088812453</v>
      </c>
      <c r="U42" s="19">
        <v>16.8516582785</v>
      </c>
      <c r="W42" s="23" t="s">
        <v>159</v>
      </c>
    </row>
    <row r="43" spans="1:23" s="23" customFormat="1" ht="38.25">
      <c r="A43" s="20" t="s">
        <v>160</v>
      </c>
      <c r="B43" s="34" t="s">
        <v>785</v>
      </c>
      <c r="C43" s="21">
        <v>100</v>
      </c>
      <c r="D43" s="22">
        <v>2</v>
      </c>
      <c r="E43" s="22" t="s">
        <v>161</v>
      </c>
      <c r="F43" s="22" t="s">
        <v>24</v>
      </c>
      <c r="G43" s="22">
        <f>419+339+574</f>
        <v>1332</v>
      </c>
      <c r="H43" s="22" t="s">
        <v>18</v>
      </c>
      <c r="I43" s="22" t="s">
        <v>162</v>
      </c>
      <c r="J43" s="22">
        <v>0.374</v>
      </c>
      <c r="K43" s="22">
        <f>10/G43</f>
        <v>0.0075075075075075074</v>
      </c>
      <c r="L43" s="22">
        <f>K43/J43</f>
        <v>0.02007354948531419</v>
      </c>
      <c r="M43" s="22" t="s">
        <v>20</v>
      </c>
      <c r="N43" s="22"/>
      <c r="O43" s="19" t="s">
        <v>21</v>
      </c>
      <c r="P43" s="19">
        <v>20</v>
      </c>
      <c r="Q43" s="19">
        <v>-1.52181519596325</v>
      </c>
      <c r="R43" s="19">
        <v>0.386779792023067</v>
      </c>
      <c r="S43" s="19" t="s">
        <v>720</v>
      </c>
      <c r="T43" s="19" t="s">
        <v>720</v>
      </c>
      <c r="U43" s="19" t="s">
        <v>720</v>
      </c>
      <c r="W43" s="24" t="s">
        <v>163</v>
      </c>
    </row>
    <row r="44" spans="1:23" s="23" customFormat="1" ht="51">
      <c r="A44" s="20" t="s">
        <v>164</v>
      </c>
      <c r="B44" s="34" t="s">
        <v>786</v>
      </c>
      <c r="C44" s="21">
        <f>19/28*100</f>
        <v>67.85714285714286</v>
      </c>
      <c r="D44" s="22">
        <v>4</v>
      </c>
      <c r="E44" s="22" t="s">
        <v>43</v>
      </c>
      <c r="F44" s="22" t="s">
        <v>17</v>
      </c>
      <c r="G44" s="22">
        <v>303</v>
      </c>
      <c r="H44" s="22" t="s">
        <v>18</v>
      </c>
      <c r="I44" s="22" t="s">
        <v>162</v>
      </c>
      <c r="J44" s="22">
        <v>0.158</v>
      </c>
      <c r="K44" s="22">
        <f>1/G44</f>
        <v>0.0033003300330033004</v>
      </c>
      <c r="L44" s="22">
        <f>K44/J44</f>
        <v>0.020888164765843674</v>
      </c>
      <c r="M44" s="22" t="s">
        <v>20</v>
      </c>
      <c r="N44" s="22">
        <v>0.0115</v>
      </c>
      <c r="O44" s="19" t="s">
        <v>21</v>
      </c>
      <c r="P44" s="19">
        <v>28</v>
      </c>
      <c r="Q44" s="19">
        <v>0.157378867791598</v>
      </c>
      <c r="R44" s="19">
        <v>0.975205309735374</v>
      </c>
      <c r="S44" s="19">
        <v>0.962561890988123</v>
      </c>
      <c r="T44" s="19">
        <v>0.035635592076255</v>
      </c>
      <c r="U44" s="19">
        <v>2.41356797147972</v>
      </c>
      <c r="W44" s="23" t="s">
        <v>165</v>
      </c>
    </row>
    <row r="45" spans="1:23" s="23" customFormat="1" ht="51">
      <c r="A45" s="20" t="s">
        <v>166</v>
      </c>
      <c r="B45" s="34" t="s">
        <v>787</v>
      </c>
      <c r="C45" s="21">
        <f>8/9*100</f>
        <v>88.88888888888889</v>
      </c>
      <c r="D45" s="22">
        <v>3</v>
      </c>
      <c r="E45" s="22" t="s">
        <v>43</v>
      </c>
      <c r="F45" s="22" t="s">
        <v>17</v>
      </c>
      <c r="G45" s="22">
        <v>1143</v>
      </c>
      <c r="H45" s="22" t="s">
        <v>18</v>
      </c>
      <c r="I45" s="22" t="s">
        <v>19</v>
      </c>
      <c r="J45" s="22">
        <v>0.422</v>
      </c>
      <c r="K45" s="22">
        <v>0.05</v>
      </c>
      <c r="L45" s="22">
        <f>K45/J45</f>
        <v>0.1184834123222749</v>
      </c>
      <c r="M45" s="22" t="s">
        <v>20</v>
      </c>
      <c r="N45" s="22">
        <v>0.0115</v>
      </c>
      <c r="O45" s="19" t="s">
        <v>21</v>
      </c>
      <c r="P45" s="19">
        <v>15</v>
      </c>
      <c r="Q45" s="19">
        <v>-1.019379627699</v>
      </c>
      <c r="R45" s="19">
        <v>0.453162333580152</v>
      </c>
      <c r="S45" s="19">
        <v>0.145731528130054</v>
      </c>
      <c r="T45" s="19">
        <v>0.00163366756085544</v>
      </c>
      <c r="U45" s="19">
        <v>12.5685786800108</v>
      </c>
      <c r="W45" s="24" t="s">
        <v>167</v>
      </c>
    </row>
    <row r="46" spans="1:23" s="23" customFormat="1" ht="51">
      <c r="A46" s="20" t="s">
        <v>168</v>
      </c>
      <c r="B46" s="34" t="s">
        <v>788</v>
      </c>
      <c r="C46" s="21">
        <f>28/34*100</f>
        <v>82.35294117647058</v>
      </c>
      <c r="D46" s="22">
        <v>1</v>
      </c>
      <c r="E46" s="22" t="s">
        <v>169</v>
      </c>
      <c r="F46" s="22" t="s">
        <v>17</v>
      </c>
      <c r="G46" s="22">
        <v>2403</v>
      </c>
      <c r="H46" s="22" t="s">
        <v>25</v>
      </c>
      <c r="I46" s="22" t="s">
        <v>19</v>
      </c>
      <c r="J46" s="22">
        <v>0.746</v>
      </c>
      <c r="K46" s="22">
        <v>0.1</v>
      </c>
      <c r="L46" s="22">
        <f>K46/J46</f>
        <v>0.13404825737265416</v>
      </c>
      <c r="M46" s="22" t="s">
        <v>20</v>
      </c>
      <c r="N46" s="22">
        <v>0.0115</v>
      </c>
      <c r="O46" s="19" t="s">
        <v>21</v>
      </c>
      <c r="P46" s="19">
        <v>27</v>
      </c>
      <c r="Q46" s="19">
        <v>-2.44233230650514</v>
      </c>
      <c r="R46" s="19">
        <v>0.358474183351876</v>
      </c>
      <c r="S46" s="19">
        <v>0.0758012858019449</v>
      </c>
      <c r="T46" s="19">
        <v>0.000229833397169125</v>
      </c>
      <c r="U46" s="19">
        <v>26.6368699962762</v>
      </c>
      <c r="W46" s="24" t="s">
        <v>170</v>
      </c>
    </row>
    <row r="47" spans="1:23" s="23" customFormat="1" ht="51">
      <c r="A47" s="20" t="s">
        <v>171</v>
      </c>
      <c r="B47" s="34" t="s">
        <v>789</v>
      </c>
      <c r="C47" s="21">
        <f>23/24*100</f>
        <v>95.83333333333334</v>
      </c>
      <c r="D47" s="22">
        <v>7</v>
      </c>
      <c r="E47" s="22" t="s">
        <v>172</v>
      </c>
      <c r="F47" s="22" t="s">
        <v>24</v>
      </c>
      <c r="G47" s="22">
        <f>1028+715+405+722+1599</f>
        <v>4469</v>
      </c>
      <c r="H47" s="22" t="s">
        <v>25</v>
      </c>
      <c r="I47" s="22" t="s">
        <v>19</v>
      </c>
      <c r="J47" s="22">
        <v>0.363</v>
      </c>
      <c r="K47" s="22">
        <v>0.005</v>
      </c>
      <c r="L47" s="22">
        <f>K47/J47</f>
        <v>0.013774104683195593</v>
      </c>
      <c r="M47" s="22" t="s">
        <v>20</v>
      </c>
      <c r="N47" s="22"/>
      <c r="O47" s="19" t="s">
        <v>55</v>
      </c>
      <c r="P47" s="19">
        <v>23</v>
      </c>
      <c r="Q47" s="19">
        <v>-2.88023617898854</v>
      </c>
      <c r="R47" s="19">
        <v>0.258892883581995</v>
      </c>
      <c r="S47" s="19" t="s">
        <v>720</v>
      </c>
      <c r="T47" s="19" t="s">
        <v>720</v>
      </c>
      <c r="U47" s="19" t="s">
        <v>720</v>
      </c>
      <c r="W47" s="23" t="s">
        <v>173</v>
      </c>
    </row>
    <row r="48" spans="1:23" s="23" customFormat="1" ht="51">
      <c r="A48" s="20" t="s">
        <v>174</v>
      </c>
      <c r="B48" s="34" t="s">
        <v>790</v>
      </c>
      <c r="C48" s="21">
        <v>100</v>
      </c>
      <c r="D48" s="22">
        <v>3</v>
      </c>
      <c r="E48" s="22" t="s">
        <v>175</v>
      </c>
      <c r="F48" s="22" t="s">
        <v>17</v>
      </c>
      <c r="G48" s="22">
        <v>15187</v>
      </c>
      <c r="H48" s="22" t="s">
        <v>25</v>
      </c>
      <c r="I48" s="22" t="s">
        <v>19</v>
      </c>
      <c r="J48" s="22">
        <v>2.679</v>
      </c>
      <c r="K48" s="22">
        <v>0.1</v>
      </c>
      <c r="L48" s="22">
        <f>K48/J48</f>
        <v>0.037327360955580445</v>
      </c>
      <c r="M48" s="22" t="s">
        <v>20</v>
      </c>
      <c r="N48" s="22">
        <v>0.0115</v>
      </c>
      <c r="O48" s="19" t="s">
        <v>21</v>
      </c>
      <c r="P48" s="19">
        <v>15</v>
      </c>
      <c r="Q48" s="19">
        <v>-3.47407800274907</v>
      </c>
      <c r="R48" s="19">
        <v>0.140294713227956</v>
      </c>
      <c r="S48" s="19">
        <v>0.247243488417489</v>
      </c>
      <c r="T48" s="19">
        <v>0.00470225712037301</v>
      </c>
      <c r="U48" s="19">
        <v>5.33013540931606</v>
      </c>
      <c r="W48" s="23" t="s">
        <v>176</v>
      </c>
    </row>
    <row r="49" spans="1:23" s="23" customFormat="1" ht="38.25">
      <c r="A49" s="20" t="s">
        <v>177</v>
      </c>
      <c r="B49" s="34" t="s">
        <v>791</v>
      </c>
      <c r="C49" s="21">
        <v>100</v>
      </c>
      <c r="D49" s="22">
        <v>2</v>
      </c>
      <c r="E49" s="22" t="s">
        <v>178</v>
      </c>
      <c r="F49" s="22" t="s">
        <v>17</v>
      </c>
      <c r="G49" s="22">
        <v>1743</v>
      </c>
      <c r="H49" s="22" t="s">
        <v>25</v>
      </c>
      <c r="I49" s="22" t="s">
        <v>19</v>
      </c>
      <c r="J49" s="22">
        <v>0.964</v>
      </c>
      <c r="K49" s="22">
        <v>0.1</v>
      </c>
      <c r="L49" s="22">
        <f>K49/J49</f>
        <v>0.1037344398340249</v>
      </c>
      <c r="M49" s="22" t="s">
        <v>20</v>
      </c>
      <c r="N49" s="22">
        <v>0.0115</v>
      </c>
      <c r="O49" s="19" t="s">
        <v>21</v>
      </c>
      <c r="P49" s="19">
        <v>11</v>
      </c>
      <c r="Q49" s="19">
        <v>-2.59392355299142</v>
      </c>
      <c r="R49" s="19">
        <v>0.212902337687528</v>
      </c>
      <c r="S49" s="19">
        <v>0.0623353741349254</v>
      </c>
      <c r="T49" s="19">
        <v>0.000431744318726792</v>
      </c>
      <c r="U49" s="19">
        <v>19.5959431127173</v>
      </c>
      <c r="W49" s="23" t="s">
        <v>179</v>
      </c>
    </row>
    <row r="50" spans="1:23" s="23" customFormat="1" ht="63.75">
      <c r="A50" s="20" t="s">
        <v>180</v>
      </c>
      <c r="B50" s="34" t="s">
        <v>792</v>
      </c>
      <c r="C50" s="21">
        <v>100</v>
      </c>
      <c r="D50" s="22">
        <v>3</v>
      </c>
      <c r="E50" s="22" t="s">
        <v>181</v>
      </c>
      <c r="F50" s="22" t="s">
        <v>24</v>
      </c>
      <c r="G50" s="22">
        <v>2272</v>
      </c>
      <c r="H50" s="22" t="s">
        <v>25</v>
      </c>
      <c r="I50" s="22" t="s">
        <v>19</v>
      </c>
      <c r="J50" s="22">
        <v>0.22</v>
      </c>
      <c r="K50" s="22">
        <v>0.01</v>
      </c>
      <c r="L50" s="22">
        <f>K50/J50</f>
        <v>0.045454545454545456</v>
      </c>
      <c r="M50" s="22" t="s">
        <v>20</v>
      </c>
      <c r="N50" s="22"/>
      <c r="O50" s="19" t="s">
        <v>21</v>
      </c>
      <c r="P50" s="19">
        <v>32</v>
      </c>
      <c r="Q50" s="19">
        <v>-2.63751767289989</v>
      </c>
      <c r="R50" s="19">
        <v>0.404587683704955</v>
      </c>
      <c r="S50" s="19" t="s">
        <v>720</v>
      </c>
      <c r="T50" s="19" t="s">
        <v>720</v>
      </c>
      <c r="U50" s="19" t="s">
        <v>720</v>
      </c>
      <c r="W50" s="23" t="s">
        <v>182</v>
      </c>
    </row>
    <row r="51" spans="1:23" s="23" customFormat="1" ht="51">
      <c r="A51" s="20" t="s">
        <v>183</v>
      </c>
      <c r="B51" s="34" t="s">
        <v>793</v>
      </c>
      <c r="C51" s="21">
        <f>8/10*100</f>
        <v>80</v>
      </c>
      <c r="D51" s="22">
        <v>6</v>
      </c>
      <c r="E51" s="22" t="s">
        <v>184</v>
      </c>
      <c r="F51" s="22" t="s">
        <v>123</v>
      </c>
      <c r="G51" s="22">
        <f>221+164+208+593+842+563+346+1922</f>
        <v>4859</v>
      </c>
      <c r="H51" s="22" t="s">
        <v>25</v>
      </c>
      <c r="I51" s="22" t="s">
        <v>19</v>
      </c>
      <c r="J51" s="22">
        <v>0.434</v>
      </c>
      <c r="K51" s="22">
        <v>0.01</v>
      </c>
      <c r="L51" s="22">
        <f>K51/J51</f>
        <v>0.02304147465437788</v>
      </c>
      <c r="M51" s="22" t="s">
        <v>20</v>
      </c>
      <c r="N51" s="22"/>
      <c r="O51" s="19" t="s">
        <v>125</v>
      </c>
      <c r="P51" s="19">
        <v>9</v>
      </c>
      <c r="Q51" s="19">
        <v>-1.65077506395023</v>
      </c>
      <c r="R51" s="19">
        <v>0.288755921929309</v>
      </c>
      <c r="S51" s="19" t="s">
        <v>720</v>
      </c>
      <c r="T51" s="19" t="s">
        <v>720</v>
      </c>
      <c r="U51" s="19" t="s">
        <v>720</v>
      </c>
      <c r="W51" s="23" t="s">
        <v>185</v>
      </c>
    </row>
    <row r="52" spans="1:23" s="23" customFormat="1" ht="51">
      <c r="A52" s="20" t="s">
        <v>186</v>
      </c>
      <c r="B52" s="34" t="s">
        <v>794</v>
      </c>
      <c r="C52" s="21">
        <v>100</v>
      </c>
      <c r="D52" s="22" t="s">
        <v>187</v>
      </c>
      <c r="E52" s="22" t="s">
        <v>188</v>
      </c>
      <c r="F52" s="22" t="s">
        <v>24</v>
      </c>
      <c r="G52" s="22">
        <f>1920+591</f>
        <v>2511</v>
      </c>
      <c r="H52" s="22" t="s">
        <v>18</v>
      </c>
      <c r="I52" s="22" t="s">
        <v>162</v>
      </c>
      <c r="J52" s="22">
        <v>1.732</v>
      </c>
      <c r="K52" s="22">
        <v>0.1</v>
      </c>
      <c r="L52" s="22">
        <f>K52/J52</f>
        <v>0.05773672055427252</v>
      </c>
      <c r="M52" s="22" t="s">
        <v>20</v>
      </c>
      <c r="N52" s="22"/>
      <c r="O52" s="19" t="s">
        <v>21</v>
      </c>
      <c r="P52" s="19">
        <v>5</v>
      </c>
      <c r="Q52" s="19">
        <v>-2.23363480482802</v>
      </c>
      <c r="R52" s="40">
        <v>0.000624911121478497</v>
      </c>
      <c r="S52" s="19" t="s">
        <v>720</v>
      </c>
      <c r="T52" s="19" t="s">
        <v>720</v>
      </c>
      <c r="U52" s="19" t="s">
        <v>720</v>
      </c>
      <c r="W52" s="23" t="s">
        <v>190</v>
      </c>
    </row>
    <row r="53" spans="1:23" s="23" customFormat="1" ht="51">
      <c r="A53" s="20" t="s">
        <v>191</v>
      </c>
      <c r="B53" s="34" t="s">
        <v>737</v>
      </c>
      <c r="C53" s="21">
        <v>100</v>
      </c>
      <c r="D53" s="22" t="s">
        <v>192</v>
      </c>
      <c r="E53" s="22" t="s">
        <v>193</v>
      </c>
      <c r="F53" s="22" t="s">
        <v>17</v>
      </c>
      <c r="G53" s="22">
        <v>1005</v>
      </c>
      <c r="H53" s="22" t="s">
        <v>18</v>
      </c>
      <c r="I53" s="22" t="s">
        <v>155</v>
      </c>
      <c r="J53" s="22">
        <v>0.379</v>
      </c>
      <c r="K53" s="22">
        <v>0.1</v>
      </c>
      <c r="L53" s="22">
        <f>K53/J53</f>
        <v>0.2638522427440633</v>
      </c>
      <c r="M53" s="22" t="s">
        <v>20</v>
      </c>
      <c r="N53" s="22">
        <v>0.0115</v>
      </c>
      <c r="O53" s="19" t="s">
        <v>21</v>
      </c>
      <c r="P53" s="19">
        <v>10</v>
      </c>
      <c r="Q53" s="19">
        <v>-2.86649540396195</v>
      </c>
      <c r="R53" s="19">
        <v>0.104379130928052</v>
      </c>
      <c r="S53" s="19">
        <v>0.101590030061362</v>
      </c>
      <c r="T53" s="19">
        <v>0.00129006677598355</v>
      </c>
      <c r="U53" s="19">
        <v>10.6406662372343</v>
      </c>
      <c r="W53" s="23" t="s">
        <v>194</v>
      </c>
    </row>
    <row r="54" spans="1:23" s="23" customFormat="1" ht="38.25">
      <c r="A54" s="20" t="s">
        <v>195</v>
      </c>
      <c r="B54" s="34" t="s">
        <v>795</v>
      </c>
      <c r="C54" s="21">
        <v>100</v>
      </c>
      <c r="D54" s="22">
        <v>2</v>
      </c>
      <c r="E54" s="22" t="s">
        <v>196</v>
      </c>
      <c r="F54" s="22" t="s">
        <v>24</v>
      </c>
      <c r="G54" s="22">
        <f>507+420+573</f>
        <v>1500</v>
      </c>
      <c r="H54" s="22" t="s">
        <v>25</v>
      </c>
      <c r="I54" s="22" t="s">
        <v>155</v>
      </c>
      <c r="J54" s="22">
        <v>0.26</v>
      </c>
      <c r="K54" s="22">
        <v>0.1</v>
      </c>
      <c r="L54" s="22">
        <f>K54/J54</f>
        <v>0.38461538461538464</v>
      </c>
      <c r="M54" s="22" t="s">
        <v>20</v>
      </c>
      <c r="N54" s="22"/>
      <c r="O54" s="19" t="s">
        <v>55</v>
      </c>
      <c r="P54" s="19">
        <v>21</v>
      </c>
      <c r="Q54" s="19">
        <v>-2.47679558903591</v>
      </c>
      <c r="R54" s="19">
        <v>0.390345237423642</v>
      </c>
      <c r="S54" s="19" t="s">
        <v>720</v>
      </c>
      <c r="T54" s="19" t="s">
        <v>720</v>
      </c>
      <c r="U54" s="19" t="s">
        <v>720</v>
      </c>
      <c r="W54" s="23" t="s">
        <v>197</v>
      </c>
    </row>
    <row r="55" spans="1:23" s="23" customFormat="1" ht="51">
      <c r="A55" s="20" t="s">
        <v>198</v>
      </c>
      <c r="B55" s="34" t="s">
        <v>796</v>
      </c>
      <c r="C55" s="21">
        <v>100</v>
      </c>
      <c r="D55" s="22">
        <v>4</v>
      </c>
      <c r="E55" s="22" t="s">
        <v>199</v>
      </c>
      <c r="F55" s="22" t="s">
        <v>17</v>
      </c>
      <c r="G55" s="22">
        <f>1140+1032</f>
        <v>2172</v>
      </c>
      <c r="H55" s="22" t="s">
        <v>25</v>
      </c>
      <c r="I55" s="22" t="s">
        <v>19</v>
      </c>
      <c r="J55" s="22">
        <v>1.369</v>
      </c>
      <c r="K55" s="22">
        <v>0.1</v>
      </c>
      <c r="L55" s="22">
        <f>K55/J55</f>
        <v>0.07304601899196494</v>
      </c>
      <c r="M55" s="22" t="s">
        <v>20</v>
      </c>
      <c r="N55" s="22">
        <v>0.0115</v>
      </c>
      <c r="O55" s="19" t="s">
        <v>21</v>
      </c>
      <c r="P55" s="19">
        <v>31</v>
      </c>
      <c r="Q55" s="19">
        <v>0.531037262988511</v>
      </c>
      <c r="R55" s="19">
        <v>1.73721693012857</v>
      </c>
      <c r="S55" s="19">
        <v>0.250925576400864</v>
      </c>
      <c r="T55" s="19">
        <v>0.0021711601686933</v>
      </c>
      <c r="U55" s="19">
        <v>11.0668859258648</v>
      </c>
      <c r="W55" s="23" t="s">
        <v>200</v>
      </c>
    </row>
    <row r="56" spans="1:23" s="23" customFormat="1" ht="38.25">
      <c r="A56" s="20" t="s">
        <v>201</v>
      </c>
      <c r="B56" s="34" t="s">
        <v>797</v>
      </c>
      <c r="C56" s="21">
        <v>100</v>
      </c>
      <c r="D56" s="22">
        <v>6</v>
      </c>
      <c r="E56" s="22" t="s">
        <v>202</v>
      </c>
      <c r="F56" s="22" t="s">
        <v>203</v>
      </c>
      <c r="G56" s="22">
        <f>742+2126+998</f>
        <v>3866</v>
      </c>
      <c r="H56" s="22" t="s">
        <v>18</v>
      </c>
      <c r="I56" s="22" t="s">
        <v>19</v>
      </c>
      <c r="J56" s="22">
        <v>0.1</v>
      </c>
      <c r="K56" s="22">
        <v>1</v>
      </c>
      <c r="L56" s="22">
        <f>K56/J56</f>
        <v>10</v>
      </c>
      <c r="M56" s="22" t="s">
        <v>30</v>
      </c>
      <c r="N56" s="22">
        <v>1</v>
      </c>
      <c r="O56" s="19" t="s">
        <v>125</v>
      </c>
      <c r="P56" s="19">
        <v>16</v>
      </c>
      <c r="Q56" s="19">
        <v>-1.02120106200393</v>
      </c>
      <c r="R56" s="19">
        <v>0.544164584626188</v>
      </c>
      <c r="S56" s="19">
        <v>0.062983624257693</v>
      </c>
      <c r="T56" s="19">
        <v>0.000283352637473875</v>
      </c>
      <c r="U56" s="19">
        <v>27.8249999999999</v>
      </c>
      <c r="W56" s="23" t="s">
        <v>204</v>
      </c>
    </row>
    <row r="57" spans="1:23" s="23" customFormat="1" ht="38.25">
      <c r="A57" s="20" t="s">
        <v>205</v>
      </c>
      <c r="B57" s="34" t="s">
        <v>738</v>
      </c>
      <c r="C57" s="21">
        <v>100</v>
      </c>
      <c r="D57" s="22">
        <v>4</v>
      </c>
      <c r="E57" s="22" t="s">
        <v>206</v>
      </c>
      <c r="F57" s="22" t="s">
        <v>123</v>
      </c>
      <c r="G57" s="22">
        <f>1300+993</f>
        <v>2293</v>
      </c>
      <c r="H57" s="22" t="s">
        <v>18</v>
      </c>
      <c r="I57" s="22" t="s">
        <v>131</v>
      </c>
      <c r="J57" s="22">
        <v>0.185</v>
      </c>
      <c r="K57" s="22">
        <v>0.01</v>
      </c>
      <c r="L57" s="22">
        <f>K57/J57</f>
        <v>0.05405405405405406</v>
      </c>
      <c r="M57" s="22" t="s">
        <v>20</v>
      </c>
      <c r="N57" s="22"/>
      <c r="O57" s="19" t="s">
        <v>21</v>
      </c>
      <c r="P57" s="19">
        <v>7</v>
      </c>
      <c r="Q57" s="19">
        <v>-0.118171735957115</v>
      </c>
      <c r="R57" s="19">
        <v>0.79991909758934</v>
      </c>
      <c r="S57" s="19" t="s">
        <v>720</v>
      </c>
      <c r="T57" s="19" t="s">
        <v>720</v>
      </c>
      <c r="U57" s="19" t="s">
        <v>720</v>
      </c>
      <c r="W57" s="23" t="s">
        <v>207</v>
      </c>
    </row>
    <row r="58" spans="1:23" s="23" customFormat="1" ht="51">
      <c r="A58" s="20" t="s">
        <v>208</v>
      </c>
      <c r="B58" s="34" t="s">
        <v>798</v>
      </c>
      <c r="C58" s="21">
        <f>15/19*100</f>
        <v>78.94736842105263</v>
      </c>
      <c r="D58" s="22">
        <v>2</v>
      </c>
      <c r="E58" s="22" t="s">
        <v>209</v>
      </c>
      <c r="F58" s="22" t="s">
        <v>17</v>
      </c>
      <c r="G58" s="22">
        <v>1330</v>
      </c>
      <c r="H58" s="22" t="s">
        <v>18</v>
      </c>
      <c r="I58" s="22" t="s">
        <v>155</v>
      </c>
      <c r="J58" s="22">
        <v>8.3</v>
      </c>
      <c r="K58" s="22">
        <v>0.05</v>
      </c>
      <c r="L58" s="22">
        <f>K58/J58</f>
        <v>0.006024096385542168</v>
      </c>
      <c r="M58" s="22" t="s">
        <v>20</v>
      </c>
      <c r="N58" s="22">
        <v>0.0115</v>
      </c>
      <c r="O58" s="19" t="s">
        <v>55</v>
      </c>
      <c r="P58" s="19">
        <v>15</v>
      </c>
      <c r="Q58" s="19">
        <v>-4.34430906294106</v>
      </c>
      <c r="R58" s="19">
        <v>0.0770862850385715</v>
      </c>
      <c r="S58" s="19">
        <v>0.0791599059847808</v>
      </c>
      <c r="T58" s="19">
        <v>0.000482022362732257</v>
      </c>
      <c r="U58" s="19">
        <v>13.8922529086956</v>
      </c>
      <c r="W58" s="23" t="s">
        <v>210</v>
      </c>
    </row>
    <row r="59" spans="1:23" s="23" customFormat="1" ht="63.75">
      <c r="A59" s="20" t="s">
        <v>211</v>
      </c>
      <c r="B59" s="34" t="s">
        <v>799</v>
      </c>
      <c r="C59" s="21">
        <v>100</v>
      </c>
      <c r="D59" s="22">
        <v>5</v>
      </c>
      <c r="E59" s="22" t="s">
        <v>212</v>
      </c>
      <c r="F59" s="22" t="s">
        <v>24</v>
      </c>
      <c r="G59" s="22">
        <v>3689</v>
      </c>
      <c r="H59" s="22" t="s">
        <v>18</v>
      </c>
      <c r="I59" s="22" t="s">
        <v>19</v>
      </c>
      <c r="J59" s="22">
        <v>1</v>
      </c>
      <c r="K59" s="22">
        <v>1</v>
      </c>
      <c r="L59" s="22">
        <f>K59/J59</f>
        <v>1</v>
      </c>
      <c r="M59" s="22" t="s">
        <v>20</v>
      </c>
      <c r="N59" s="22"/>
      <c r="O59" s="19" t="s">
        <v>21</v>
      </c>
      <c r="P59" s="19">
        <v>9</v>
      </c>
      <c r="Q59" s="19">
        <v>-1.71712485623527</v>
      </c>
      <c r="R59" s="19">
        <v>0.305516876611945</v>
      </c>
      <c r="S59" s="19" t="s">
        <v>720</v>
      </c>
      <c r="T59" s="19" t="s">
        <v>720</v>
      </c>
      <c r="U59" s="19" t="s">
        <v>720</v>
      </c>
      <c r="W59" s="23" t="s">
        <v>213</v>
      </c>
    </row>
    <row r="60" spans="1:23" s="23" customFormat="1" ht="63.75">
      <c r="A60" s="20" t="s">
        <v>214</v>
      </c>
      <c r="B60" s="34" t="s">
        <v>800</v>
      </c>
      <c r="C60" s="21">
        <f>27/32*100</f>
        <v>84.375</v>
      </c>
      <c r="D60" s="22">
        <v>2</v>
      </c>
      <c r="E60" s="22" t="s">
        <v>115</v>
      </c>
      <c r="F60" s="22" t="s">
        <v>17</v>
      </c>
      <c r="G60" s="22">
        <f>735+416</f>
        <v>1151</v>
      </c>
      <c r="H60" s="22" t="s">
        <v>18</v>
      </c>
      <c r="I60" s="22" t="s">
        <v>19</v>
      </c>
      <c r="J60" s="22">
        <v>9</v>
      </c>
      <c r="K60" s="22">
        <f>5/416</f>
        <v>0.01201923076923077</v>
      </c>
      <c r="L60" s="22">
        <f>K60/J60</f>
        <v>0.0013354700854700855</v>
      </c>
      <c r="M60" s="22" t="s">
        <v>20</v>
      </c>
      <c r="N60" s="22">
        <v>0.0115</v>
      </c>
      <c r="O60" s="19" t="s">
        <v>55</v>
      </c>
      <c r="P60" s="19">
        <v>27</v>
      </c>
      <c r="Q60" s="19">
        <v>0.804371834225816</v>
      </c>
      <c r="R60" s="19">
        <v>1.16179628248986</v>
      </c>
      <c r="S60" s="19">
        <v>0.761321978514565</v>
      </c>
      <c r="T60" s="19">
        <v>0.0231844461987732</v>
      </c>
      <c r="U60" s="19">
        <v>4.02277995766027</v>
      </c>
      <c r="W60" s="23" t="s">
        <v>215</v>
      </c>
    </row>
    <row r="61" spans="1:23" s="23" customFormat="1" ht="51">
      <c r="A61" s="20" t="s">
        <v>216</v>
      </c>
      <c r="B61" s="34" t="s">
        <v>801</v>
      </c>
      <c r="C61" s="21">
        <f>21/36*100</f>
        <v>58.333333333333336</v>
      </c>
      <c r="D61" s="22">
        <v>2</v>
      </c>
      <c r="E61" s="22" t="s">
        <v>217</v>
      </c>
      <c r="F61" s="22" t="s">
        <v>24</v>
      </c>
      <c r="G61" s="22">
        <f>1086+374</f>
        <v>1460</v>
      </c>
      <c r="H61" s="22" t="s">
        <v>18</v>
      </c>
      <c r="I61" s="22" t="s">
        <v>19</v>
      </c>
      <c r="J61" s="22">
        <v>11.2</v>
      </c>
      <c r="K61" s="22">
        <v>0.05</v>
      </c>
      <c r="L61" s="22">
        <f>K61/J61</f>
        <v>0.004464285714285715</v>
      </c>
      <c r="M61" s="22" t="s">
        <v>20</v>
      </c>
      <c r="N61" s="22"/>
      <c r="O61" s="19" t="s">
        <v>21</v>
      </c>
      <c r="P61" s="19">
        <v>16</v>
      </c>
      <c r="Q61" s="19">
        <v>-3.56309682406862</v>
      </c>
      <c r="R61" s="19">
        <v>0.133933047395759</v>
      </c>
      <c r="S61" s="19" t="s">
        <v>720</v>
      </c>
      <c r="T61" s="19" t="s">
        <v>720</v>
      </c>
      <c r="U61" s="19" t="s">
        <v>720</v>
      </c>
      <c r="W61" s="23" t="s">
        <v>218</v>
      </c>
    </row>
    <row r="62" spans="1:23" s="23" customFormat="1" ht="38.25">
      <c r="A62" s="20" t="s">
        <v>219</v>
      </c>
      <c r="B62" s="34" t="s">
        <v>802</v>
      </c>
      <c r="C62" s="21">
        <f>19/36*100</f>
        <v>52.77777777777778</v>
      </c>
      <c r="D62" s="22" t="s">
        <v>220</v>
      </c>
      <c r="E62" s="22" t="s">
        <v>43</v>
      </c>
      <c r="F62" s="22" t="s">
        <v>17</v>
      </c>
      <c r="G62" s="22">
        <f>287+288</f>
        <v>575</v>
      </c>
      <c r="H62" s="22" t="s">
        <v>18</v>
      </c>
      <c r="I62" s="22"/>
      <c r="J62" s="22">
        <v>9.3</v>
      </c>
      <c r="K62" s="22">
        <v>0.01</v>
      </c>
      <c r="L62" s="22">
        <f>K62/J62</f>
        <v>0.001075268817204301</v>
      </c>
      <c r="M62" s="22" t="s">
        <v>20</v>
      </c>
      <c r="N62" s="22">
        <v>0.0115</v>
      </c>
      <c r="O62" s="19" t="s">
        <v>21</v>
      </c>
      <c r="P62" s="19">
        <v>17</v>
      </c>
      <c r="Q62" s="19">
        <v>-0.664002923921676</v>
      </c>
      <c r="R62" s="19">
        <v>0.570431505857408</v>
      </c>
      <c r="S62" s="19">
        <v>0.421145823266403</v>
      </c>
      <c r="T62" s="19">
        <v>0.0118242536303157</v>
      </c>
      <c r="U62" s="19">
        <v>5.8242438865942</v>
      </c>
      <c r="W62" s="23" t="s">
        <v>221</v>
      </c>
    </row>
    <row r="63" spans="1:23" s="23" customFormat="1" ht="38.25">
      <c r="A63" s="20" t="s">
        <v>222</v>
      </c>
      <c r="B63" s="34" t="s">
        <v>803</v>
      </c>
      <c r="C63" s="21">
        <f>66/90*100</f>
        <v>73.33333333333333</v>
      </c>
      <c r="D63" s="22">
        <v>3</v>
      </c>
      <c r="E63" s="22" t="s">
        <v>223</v>
      </c>
      <c r="F63" s="22" t="s">
        <v>123</v>
      </c>
      <c r="G63" s="22" t="s">
        <v>224</v>
      </c>
      <c r="H63" s="22" t="s">
        <v>18</v>
      </c>
      <c r="I63" s="22" t="s">
        <v>189</v>
      </c>
      <c r="J63" s="22">
        <v>7</v>
      </c>
      <c r="K63" s="22">
        <v>0.01</v>
      </c>
      <c r="L63" s="22">
        <f>K63/J63</f>
        <v>0.0014285714285714286</v>
      </c>
      <c r="M63" s="22" t="s">
        <v>20</v>
      </c>
      <c r="N63" s="3">
        <v>0.00305</v>
      </c>
      <c r="O63" s="19" t="s">
        <v>125</v>
      </c>
      <c r="P63" s="19">
        <v>64</v>
      </c>
      <c r="Q63" s="19">
        <v>-4.80830495458926</v>
      </c>
      <c r="R63" s="19">
        <v>0.296887129405374</v>
      </c>
      <c r="S63" s="19">
        <v>0.135333364614714</v>
      </c>
      <c r="T63" s="19">
        <v>0.00029540515448289</v>
      </c>
      <c r="U63" s="19">
        <v>24.9420391362384</v>
      </c>
      <c r="W63" s="23" t="s">
        <v>225</v>
      </c>
    </row>
    <row r="64" spans="1:23" s="23" customFormat="1" ht="38.25">
      <c r="A64" s="20" t="s">
        <v>226</v>
      </c>
      <c r="B64" s="34" t="s">
        <v>804</v>
      </c>
      <c r="C64" s="21">
        <v>100</v>
      </c>
      <c r="D64" s="22">
        <v>2</v>
      </c>
      <c r="E64" s="22" t="s">
        <v>227</v>
      </c>
      <c r="F64" s="22" t="s">
        <v>24</v>
      </c>
      <c r="G64" s="22">
        <f>1493+754</f>
        <v>2247</v>
      </c>
      <c r="H64" s="22" t="s">
        <v>18</v>
      </c>
      <c r="I64" s="22" t="s">
        <v>155</v>
      </c>
      <c r="J64" s="22" t="s">
        <v>34</v>
      </c>
      <c r="K64" s="22"/>
      <c r="L64" s="22"/>
      <c r="M64" s="22"/>
      <c r="N64" s="22"/>
      <c r="O64" s="19" t="s">
        <v>55</v>
      </c>
      <c r="P64" s="19">
        <v>5</v>
      </c>
      <c r="Q64" s="19">
        <v>-0.706442577030812</v>
      </c>
      <c r="R64" s="19">
        <v>0.122109533195182</v>
      </c>
      <c r="S64" s="19" t="s">
        <v>720</v>
      </c>
      <c r="T64" s="19" t="s">
        <v>720</v>
      </c>
      <c r="U64" s="19" t="s">
        <v>720</v>
      </c>
      <c r="W64" s="23" t="s">
        <v>228</v>
      </c>
    </row>
    <row r="65" spans="1:23" s="23" customFormat="1" ht="38.25">
      <c r="A65" s="20" t="s">
        <v>229</v>
      </c>
      <c r="B65" s="34" t="s">
        <v>805</v>
      </c>
      <c r="C65" s="21">
        <f>32/50*100</f>
        <v>64</v>
      </c>
      <c r="D65" s="22">
        <v>3</v>
      </c>
      <c r="E65" s="22" t="s">
        <v>230</v>
      </c>
      <c r="F65" s="22" t="s">
        <v>17</v>
      </c>
      <c r="G65" s="22">
        <f>1083+1021+935</f>
        <v>3039</v>
      </c>
      <c r="H65" s="22" t="s">
        <v>18</v>
      </c>
      <c r="I65" s="22" t="s">
        <v>19</v>
      </c>
      <c r="J65" s="22">
        <v>3.5</v>
      </c>
      <c r="K65" s="22">
        <v>0.05</v>
      </c>
      <c r="L65" s="22">
        <f>K65/J65</f>
        <v>0.014285714285714287</v>
      </c>
      <c r="M65" s="22" t="s">
        <v>20</v>
      </c>
      <c r="N65" s="22">
        <v>0.0115</v>
      </c>
      <c r="O65" s="19" t="s">
        <v>21</v>
      </c>
      <c r="P65" s="19">
        <v>26</v>
      </c>
      <c r="Q65" s="19">
        <v>-3.73259889607003</v>
      </c>
      <c r="R65" s="19">
        <v>0.275452971527517</v>
      </c>
      <c r="S65" s="19">
        <v>0.0410637910388693</v>
      </c>
      <c r="T65" s="19">
        <v>7.02597889368301E-05</v>
      </c>
      <c r="U65" s="19">
        <v>37.2860046890624</v>
      </c>
      <c r="W65" s="23" t="s">
        <v>231</v>
      </c>
    </row>
    <row r="66" spans="1:23" s="23" customFormat="1" ht="25.5">
      <c r="A66" s="20" t="s">
        <v>232</v>
      </c>
      <c r="B66" s="34" t="s">
        <v>806</v>
      </c>
      <c r="C66" s="21">
        <v>100</v>
      </c>
      <c r="D66" s="22">
        <v>2</v>
      </c>
      <c r="E66" s="22" t="s">
        <v>233</v>
      </c>
      <c r="F66" s="22" t="s">
        <v>123</v>
      </c>
      <c r="G66" s="22">
        <v>466</v>
      </c>
      <c r="H66" s="22" t="s">
        <v>54</v>
      </c>
      <c r="I66" s="22" t="s">
        <v>234</v>
      </c>
      <c r="J66" s="22" t="s">
        <v>34</v>
      </c>
      <c r="K66" s="22"/>
      <c r="L66" s="22"/>
      <c r="M66" s="22"/>
      <c r="N66" s="22"/>
      <c r="O66" s="19" t="s">
        <v>21</v>
      </c>
      <c r="P66" s="19">
        <v>5</v>
      </c>
      <c r="Q66" s="19">
        <v>-1.93537090098694</v>
      </c>
      <c r="R66" s="19">
        <v>0.0710871155396449</v>
      </c>
      <c r="S66" s="19" t="s">
        <v>720</v>
      </c>
      <c r="T66" s="19" t="s">
        <v>720</v>
      </c>
      <c r="U66" s="19" t="s">
        <v>720</v>
      </c>
      <c r="W66" s="23" t="s">
        <v>235</v>
      </c>
    </row>
    <row r="67" spans="1:23" s="23" customFormat="1" ht="51">
      <c r="A67" s="20" t="s">
        <v>236</v>
      </c>
      <c r="B67" s="34" t="s">
        <v>807</v>
      </c>
      <c r="C67" s="21">
        <f>7/8*100</f>
        <v>87.5</v>
      </c>
      <c r="D67" s="22">
        <v>4</v>
      </c>
      <c r="E67" s="22" t="s">
        <v>237</v>
      </c>
      <c r="F67" s="22" t="s">
        <v>17</v>
      </c>
      <c r="G67" s="22">
        <f>307+366</f>
        <v>673</v>
      </c>
      <c r="H67" s="22" t="s">
        <v>54</v>
      </c>
      <c r="I67" s="22" t="s">
        <v>234</v>
      </c>
      <c r="J67" s="22">
        <v>22.1</v>
      </c>
      <c r="K67" s="22">
        <v>0.05</v>
      </c>
      <c r="L67" s="22">
        <f>K67/J67</f>
        <v>0.002262443438914027</v>
      </c>
      <c r="M67" s="22" t="s">
        <v>20</v>
      </c>
      <c r="N67" s="22">
        <v>0.0115</v>
      </c>
      <c r="O67" s="19" t="s">
        <v>21</v>
      </c>
      <c r="P67" s="19">
        <v>9</v>
      </c>
      <c r="Q67" s="19">
        <v>-2.85635733166796</v>
      </c>
      <c r="R67" s="19">
        <v>0.0943728916840732</v>
      </c>
      <c r="S67" s="19">
        <v>0.293754442953274</v>
      </c>
      <c r="T67" s="19">
        <v>0.0123273818221126</v>
      </c>
      <c r="U67" s="19">
        <v>3.57748799374999</v>
      </c>
      <c r="W67" s="23" t="s">
        <v>238</v>
      </c>
    </row>
    <row r="68" spans="1:23" s="23" customFormat="1" ht="38.25">
      <c r="A68" s="20" t="s">
        <v>239</v>
      </c>
      <c r="B68" s="34" t="s">
        <v>808</v>
      </c>
      <c r="C68" s="21">
        <v>100</v>
      </c>
      <c r="D68" s="22">
        <v>2</v>
      </c>
      <c r="E68" s="22" t="s">
        <v>240</v>
      </c>
      <c r="F68" s="22" t="s">
        <v>17</v>
      </c>
      <c r="G68" s="22">
        <v>1035</v>
      </c>
      <c r="H68" s="22" t="s">
        <v>54</v>
      </c>
      <c r="I68" s="22"/>
      <c r="J68" s="22">
        <v>74.7</v>
      </c>
      <c r="K68" s="22">
        <v>0.15</v>
      </c>
      <c r="L68" s="22">
        <f>K68/J68</f>
        <v>0.002008032128514056</v>
      </c>
      <c r="M68" s="22" t="s">
        <v>20</v>
      </c>
      <c r="N68" s="22">
        <v>0.0115</v>
      </c>
      <c r="O68" s="19" t="s">
        <v>21</v>
      </c>
      <c r="P68" s="19">
        <v>13</v>
      </c>
      <c r="Q68" s="19">
        <v>1.4564289062265</v>
      </c>
      <c r="R68" s="19">
        <v>2.05596216516808</v>
      </c>
      <c r="S68" s="19">
        <v>0.28849185177137</v>
      </c>
      <c r="T68" s="19">
        <v>0.00756614077622494</v>
      </c>
      <c r="U68" s="19">
        <v>9.35517372173913</v>
      </c>
      <c r="W68" s="23" t="s">
        <v>241</v>
      </c>
    </row>
    <row r="69" spans="1:23" s="23" customFormat="1" ht="63.75">
      <c r="A69" s="20" t="s">
        <v>242</v>
      </c>
      <c r="B69" s="34" t="s">
        <v>809</v>
      </c>
      <c r="C69" s="21">
        <f>14/15*100</f>
        <v>93.33333333333333</v>
      </c>
      <c r="D69" s="22">
        <v>3</v>
      </c>
      <c r="E69" s="22" t="s">
        <v>243</v>
      </c>
      <c r="F69" s="22" t="s">
        <v>17</v>
      </c>
      <c r="G69" s="22">
        <v>1205</v>
      </c>
      <c r="H69" s="22" t="s">
        <v>54</v>
      </c>
      <c r="I69" s="22"/>
      <c r="J69" s="22" t="s">
        <v>34</v>
      </c>
      <c r="K69" s="22"/>
      <c r="L69" s="22"/>
      <c r="M69" s="22"/>
      <c r="N69" s="22"/>
      <c r="O69" s="19" t="s">
        <v>55</v>
      </c>
      <c r="P69" s="19">
        <v>15</v>
      </c>
      <c r="Q69" s="19">
        <v>0.242369562446928</v>
      </c>
      <c r="R69" s="19">
        <v>0.945210026661029</v>
      </c>
      <c r="S69" s="19" t="s">
        <v>720</v>
      </c>
      <c r="T69" s="19" t="s">
        <v>720</v>
      </c>
      <c r="U69" s="19" t="s">
        <v>720</v>
      </c>
      <c r="W69" s="23" t="s">
        <v>244</v>
      </c>
    </row>
    <row r="70" spans="1:23" s="23" customFormat="1" ht="51">
      <c r="A70" s="20" t="s">
        <v>245</v>
      </c>
      <c r="B70" s="35" t="s">
        <v>810</v>
      </c>
      <c r="C70" s="21">
        <f>6/7*100</f>
        <v>85.71428571428571</v>
      </c>
      <c r="D70" s="22">
        <v>5</v>
      </c>
      <c r="E70" s="22" t="s">
        <v>246</v>
      </c>
      <c r="F70" s="22" t="s">
        <v>17</v>
      </c>
      <c r="G70" s="22">
        <v>1642</v>
      </c>
      <c r="H70" s="22" t="s">
        <v>18</v>
      </c>
      <c r="I70" s="22" t="s">
        <v>247</v>
      </c>
      <c r="J70" s="22">
        <v>3.8</v>
      </c>
      <c r="K70" s="22">
        <v>0.01</v>
      </c>
      <c r="L70" s="22">
        <f>K70/J70</f>
        <v>0.0026315789473684214</v>
      </c>
      <c r="M70" s="22" t="s">
        <v>20</v>
      </c>
      <c r="N70" s="22">
        <v>0.0115</v>
      </c>
      <c r="O70" s="19" t="s">
        <v>21</v>
      </c>
      <c r="P70" s="19">
        <v>9</v>
      </c>
      <c r="Q70" s="19">
        <v>-1.47224142122451</v>
      </c>
      <c r="R70" s="19">
        <v>0.277321714007105</v>
      </c>
      <c r="S70" s="19">
        <v>0.272638140714795</v>
      </c>
      <c r="T70" s="19">
        <v>0.0106187936817743</v>
      </c>
      <c r="U70" s="19">
        <v>4.80692229293478</v>
      </c>
      <c r="W70" s="23" t="s">
        <v>248</v>
      </c>
    </row>
    <row r="71" spans="1:23" s="23" customFormat="1" ht="51">
      <c r="A71" s="20" t="s">
        <v>249</v>
      </c>
      <c r="B71" s="35" t="s">
        <v>811</v>
      </c>
      <c r="C71" s="21">
        <v>100</v>
      </c>
      <c r="D71" s="22">
        <v>2</v>
      </c>
      <c r="E71" s="22" t="s">
        <v>250</v>
      </c>
      <c r="F71" s="22" t="s">
        <v>17</v>
      </c>
      <c r="G71" s="22">
        <f>460+1033</f>
        <v>1493</v>
      </c>
      <c r="H71" s="22" t="s">
        <v>54</v>
      </c>
      <c r="I71" s="22" t="s">
        <v>251</v>
      </c>
      <c r="J71" s="3">
        <v>1</v>
      </c>
      <c r="K71" s="22">
        <v>1</v>
      </c>
      <c r="L71" s="22">
        <v>1</v>
      </c>
      <c r="M71" s="22" t="s">
        <v>30</v>
      </c>
      <c r="N71" s="22"/>
      <c r="O71" s="19" t="s">
        <v>21</v>
      </c>
      <c r="P71" s="19">
        <v>9</v>
      </c>
      <c r="Q71" s="19">
        <v>-0.886682819819664</v>
      </c>
      <c r="R71" s="19">
        <v>0.613813775510204</v>
      </c>
      <c r="S71" s="19" t="s">
        <v>720</v>
      </c>
      <c r="T71" s="19" t="s">
        <v>720</v>
      </c>
      <c r="U71" s="19" t="s">
        <v>720</v>
      </c>
      <c r="W71" s="23" t="s">
        <v>252</v>
      </c>
    </row>
    <row r="72" spans="1:23" s="23" customFormat="1" ht="51">
      <c r="A72" s="20" t="s">
        <v>253</v>
      </c>
      <c r="B72" s="35" t="s">
        <v>959</v>
      </c>
      <c r="C72" s="21">
        <v>100</v>
      </c>
      <c r="D72" s="22">
        <v>1</v>
      </c>
      <c r="E72" s="22" t="s">
        <v>254</v>
      </c>
      <c r="F72" s="22" t="s">
        <v>17</v>
      </c>
      <c r="G72" s="22">
        <v>1253</v>
      </c>
      <c r="H72" s="22" t="s">
        <v>18</v>
      </c>
      <c r="I72" s="22" t="s">
        <v>255</v>
      </c>
      <c r="J72" s="22">
        <v>23.9</v>
      </c>
      <c r="K72" s="22">
        <f>50/G72</f>
        <v>0.03990422984836393</v>
      </c>
      <c r="L72" s="22">
        <f>K72/J72</f>
        <v>0.0016696330480487</v>
      </c>
      <c r="M72" s="22" t="s">
        <v>20</v>
      </c>
      <c r="N72" s="22">
        <v>0.0115</v>
      </c>
      <c r="O72" s="19" t="s">
        <v>55</v>
      </c>
      <c r="P72" s="19">
        <v>14</v>
      </c>
      <c r="Q72" s="19">
        <v>-2.12624744114636</v>
      </c>
      <c r="R72" s="19">
        <v>0.445163932918408</v>
      </c>
      <c r="S72" s="19">
        <v>0.211496659105898</v>
      </c>
      <c r="T72" s="19">
        <v>0.00372756973441303</v>
      </c>
      <c r="U72" s="19">
        <v>6.17709765445652</v>
      </c>
      <c r="W72" s="23" t="s">
        <v>256</v>
      </c>
    </row>
    <row r="73" spans="1:23" s="23" customFormat="1" ht="63.75">
      <c r="A73" s="20" t="s">
        <v>257</v>
      </c>
      <c r="B73" s="35" t="s">
        <v>812</v>
      </c>
      <c r="C73" s="21">
        <f>29/31*100</f>
        <v>93.54838709677419</v>
      </c>
      <c r="D73" s="22">
        <v>2</v>
      </c>
      <c r="E73" s="22" t="s">
        <v>258</v>
      </c>
      <c r="F73" s="22" t="s">
        <v>17</v>
      </c>
      <c r="G73" s="22">
        <v>3809</v>
      </c>
      <c r="H73" s="22" t="s">
        <v>18</v>
      </c>
      <c r="I73" s="22" t="s">
        <v>19</v>
      </c>
      <c r="J73" s="22">
        <v>10.8</v>
      </c>
      <c r="K73" s="22">
        <v>0.01</v>
      </c>
      <c r="L73" s="22">
        <f>K73/J73</f>
        <v>0.0009259259259259259</v>
      </c>
      <c r="M73" s="22" t="s">
        <v>20</v>
      </c>
      <c r="N73" s="22">
        <v>0.0115</v>
      </c>
      <c r="O73" s="19" t="s">
        <v>21</v>
      </c>
      <c r="P73" s="19">
        <v>32</v>
      </c>
      <c r="Q73" s="19">
        <v>-2.73158061034563</v>
      </c>
      <c r="R73" s="19">
        <v>0.361931840683821</v>
      </c>
      <c r="S73" s="19">
        <v>0.293828280928565</v>
      </c>
      <c r="T73" s="19">
        <v>0.00287783528911453</v>
      </c>
      <c r="U73" s="19">
        <v>7.06171900042459</v>
      </c>
      <c r="W73" s="23" t="s">
        <v>259</v>
      </c>
    </row>
    <row r="74" spans="1:23" s="23" customFormat="1" ht="51">
      <c r="A74" s="20" t="s">
        <v>260</v>
      </c>
      <c r="B74" s="35" t="s">
        <v>813</v>
      </c>
      <c r="C74" s="21">
        <v>100</v>
      </c>
      <c r="D74" s="22">
        <v>2</v>
      </c>
      <c r="E74" s="22" t="s">
        <v>43</v>
      </c>
      <c r="F74" s="22" t="s">
        <v>17</v>
      </c>
      <c r="G74" s="22">
        <v>1133</v>
      </c>
      <c r="H74" s="22" t="s">
        <v>18</v>
      </c>
      <c r="I74" s="22" t="s">
        <v>19</v>
      </c>
      <c r="J74" s="22">
        <v>23</v>
      </c>
      <c r="K74" s="22">
        <v>0.1</v>
      </c>
      <c r="L74" s="22">
        <f>K74/J74</f>
        <v>0.004347826086956522</v>
      </c>
      <c r="M74" s="22" t="s">
        <v>20</v>
      </c>
      <c r="N74" s="22">
        <v>0.0115</v>
      </c>
      <c r="O74" s="19" t="s">
        <v>21</v>
      </c>
      <c r="P74" s="19">
        <v>14</v>
      </c>
      <c r="Q74" s="19">
        <v>0.482900943396225</v>
      </c>
      <c r="R74" s="19">
        <v>1.14558162086846</v>
      </c>
      <c r="S74" s="19">
        <v>0.147868626297693</v>
      </c>
      <c r="T74" s="19">
        <v>0.00182209422026392</v>
      </c>
      <c r="U74" s="19">
        <v>14.0941041604619</v>
      </c>
      <c r="W74" s="23" t="s">
        <v>261</v>
      </c>
    </row>
    <row r="75" spans="1:23" s="23" customFormat="1" ht="51">
      <c r="A75" s="20" t="s">
        <v>262</v>
      </c>
      <c r="B75" s="35" t="s">
        <v>814</v>
      </c>
      <c r="C75" s="21">
        <f>36/41*100</f>
        <v>87.8048780487805</v>
      </c>
      <c r="D75" s="22">
        <v>4</v>
      </c>
      <c r="E75" s="22" t="s">
        <v>263</v>
      </c>
      <c r="F75" s="22" t="s">
        <v>17</v>
      </c>
      <c r="G75" s="22">
        <v>1496</v>
      </c>
      <c r="H75" s="22" t="s">
        <v>18</v>
      </c>
      <c r="I75" s="22" t="s">
        <v>305</v>
      </c>
      <c r="J75" s="22">
        <v>7.2</v>
      </c>
      <c r="K75" s="22">
        <f>15/G75</f>
        <v>0.010026737967914439</v>
      </c>
      <c r="L75" s="22">
        <f>K75/J75</f>
        <v>0.001392602495543672</v>
      </c>
      <c r="M75" s="22" t="s">
        <v>20</v>
      </c>
      <c r="N75" s="22">
        <v>0.0115</v>
      </c>
      <c r="O75" s="19" t="s">
        <v>55</v>
      </c>
      <c r="P75" s="19">
        <v>37</v>
      </c>
      <c r="Q75" s="19">
        <v>-1.72973804475314</v>
      </c>
      <c r="R75" s="19">
        <v>0.551137247834386</v>
      </c>
      <c r="S75" s="19">
        <v>0.320504889286528</v>
      </c>
      <c r="T75" s="19">
        <v>0.00293495383018771</v>
      </c>
      <c r="U75" s="19">
        <v>7.85234295011888</v>
      </c>
      <c r="W75" s="23" t="s">
        <v>264</v>
      </c>
    </row>
    <row r="76" spans="1:23" s="23" customFormat="1" ht="51">
      <c r="A76" s="20" t="s">
        <v>265</v>
      </c>
      <c r="B76" s="35" t="s">
        <v>815</v>
      </c>
      <c r="C76" s="21">
        <v>100</v>
      </c>
      <c r="D76" s="22">
        <v>5</v>
      </c>
      <c r="E76" s="22" t="s">
        <v>43</v>
      </c>
      <c r="F76" s="22" t="s">
        <v>17</v>
      </c>
      <c r="G76" s="22">
        <v>1140</v>
      </c>
      <c r="H76" s="22" t="s">
        <v>54</v>
      </c>
      <c r="I76" s="22"/>
      <c r="J76" s="22">
        <v>105</v>
      </c>
      <c r="K76" s="22">
        <v>6</v>
      </c>
      <c r="L76" s="22">
        <f>K76/J76</f>
        <v>0.05714285714285714</v>
      </c>
      <c r="M76" s="22" t="s">
        <v>30</v>
      </c>
      <c r="N76" s="22">
        <v>1</v>
      </c>
      <c r="O76" s="19" t="s">
        <v>21</v>
      </c>
      <c r="P76" s="19">
        <v>7</v>
      </c>
      <c r="Q76" s="19">
        <v>-0.459044115964795</v>
      </c>
      <c r="R76" s="19">
        <v>0.305117764135724</v>
      </c>
      <c r="S76" s="19">
        <v>0.242651137600526</v>
      </c>
      <c r="T76" s="19">
        <v>0.0117759149157659</v>
      </c>
      <c r="U76" s="19">
        <v>5.30714284387499</v>
      </c>
      <c r="W76" s="23" t="s">
        <v>266</v>
      </c>
    </row>
    <row r="77" spans="1:23" s="23" customFormat="1" ht="51">
      <c r="A77" s="20" t="s">
        <v>267</v>
      </c>
      <c r="B77" s="35" t="s">
        <v>816</v>
      </c>
      <c r="C77" s="21">
        <f>21/24*100</f>
        <v>87.5</v>
      </c>
      <c r="D77" s="22">
        <v>4</v>
      </c>
      <c r="E77" s="22" t="s">
        <v>268</v>
      </c>
      <c r="F77" s="22" t="s">
        <v>17</v>
      </c>
      <c r="G77" s="22">
        <v>1614</v>
      </c>
      <c r="H77" s="22" t="s">
        <v>54</v>
      </c>
      <c r="I77" s="22" t="s">
        <v>251</v>
      </c>
      <c r="J77" s="22">
        <v>46.3</v>
      </c>
      <c r="K77" s="22">
        <v>0.03</v>
      </c>
      <c r="L77" s="22">
        <f>K77/J77</f>
        <v>0.0006479481641468683</v>
      </c>
      <c r="M77" s="22" t="s">
        <v>20</v>
      </c>
      <c r="N77" s="22">
        <v>0.0115</v>
      </c>
      <c r="O77" s="19" t="s">
        <v>55</v>
      </c>
      <c r="P77" s="19">
        <v>13</v>
      </c>
      <c r="Q77" s="19">
        <v>-0.223519137573785</v>
      </c>
      <c r="R77" s="19">
        <v>0.910293446620457</v>
      </c>
      <c r="S77" s="19">
        <v>0.567877116536768</v>
      </c>
      <c r="T77" s="19">
        <v>0.0293167654078286</v>
      </c>
      <c r="U77" s="19">
        <v>3.20144416032608</v>
      </c>
      <c r="W77" s="23" t="s">
        <v>269</v>
      </c>
    </row>
    <row r="78" spans="1:23" s="23" customFormat="1" ht="51">
      <c r="A78" s="20" t="s">
        <v>270</v>
      </c>
      <c r="B78" s="35" t="s">
        <v>817</v>
      </c>
      <c r="C78" s="21">
        <f>4/5*100</f>
        <v>80</v>
      </c>
      <c r="D78" s="22">
        <v>5</v>
      </c>
      <c r="E78" s="22" t="s">
        <v>250</v>
      </c>
      <c r="F78" s="22" t="s">
        <v>17</v>
      </c>
      <c r="G78" s="22">
        <v>1262</v>
      </c>
      <c r="H78" s="22" t="s">
        <v>54</v>
      </c>
      <c r="I78" s="22" t="s">
        <v>234</v>
      </c>
      <c r="J78" s="22">
        <v>61.7</v>
      </c>
      <c r="K78" s="22">
        <v>3</v>
      </c>
      <c r="L78" s="22">
        <f>K78/J78</f>
        <v>0.0486223662884927</v>
      </c>
      <c r="M78" s="22" t="s">
        <v>30</v>
      </c>
      <c r="N78" s="22">
        <v>1</v>
      </c>
      <c r="O78" s="19" t="s">
        <v>21</v>
      </c>
      <c r="P78" s="19">
        <v>6</v>
      </c>
      <c r="Q78" s="19">
        <v>-1.99981211720976</v>
      </c>
      <c r="R78" s="19">
        <v>0.113576158940397</v>
      </c>
      <c r="S78" s="19">
        <v>0.366770696187169</v>
      </c>
      <c r="T78" s="19">
        <v>0.0336301858954053</v>
      </c>
      <c r="U78" s="19">
        <v>2.266410035175</v>
      </c>
      <c r="W78" s="23" t="s">
        <v>271</v>
      </c>
    </row>
    <row r="79" spans="1:23" s="23" customFormat="1" ht="51">
      <c r="A79" s="20" t="s">
        <v>272</v>
      </c>
      <c r="B79" s="35" t="s">
        <v>818</v>
      </c>
      <c r="C79" s="21">
        <f>18/30*100</f>
        <v>60</v>
      </c>
      <c r="D79" s="22">
        <v>3</v>
      </c>
      <c r="E79" s="22" t="s">
        <v>90</v>
      </c>
      <c r="F79" s="22" t="s">
        <v>17</v>
      </c>
      <c r="G79" s="22">
        <v>428</v>
      </c>
      <c r="H79" s="22" t="s">
        <v>18</v>
      </c>
      <c r="I79" s="22" t="s">
        <v>19</v>
      </c>
      <c r="J79" s="22">
        <v>3.9</v>
      </c>
      <c r="K79" s="22">
        <v>0.05</v>
      </c>
      <c r="L79" s="22">
        <f>K79/J79</f>
        <v>0.012820512820512822</v>
      </c>
      <c r="M79" s="22" t="s">
        <v>20</v>
      </c>
      <c r="N79" s="22">
        <v>0.0115</v>
      </c>
      <c r="O79" s="19" t="s">
        <v>55</v>
      </c>
      <c r="P79" s="19">
        <v>21</v>
      </c>
      <c r="Q79" s="19">
        <v>1.20329440908381</v>
      </c>
      <c r="R79" s="19">
        <v>0.856359736562606</v>
      </c>
      <c r="S79" s="19">
        <v>0.0858025451414941</v>
      </c>
      <c r="T79" s="19">
        <v>0.000387477723829375</v>
      </c>
      <c r="U79" s="19">
        <v>36.0964504774796</v>
      </c>
      <c r="W79" s="23" t="s">
        <v>273</v>
      </c>
    </row>
    <row r="80" spans="1:23" s="23" customFormat="1" ht="38.25">
      <c r="A80" s="20" t="s">
        <v>274</v>
      </c>
      <c r="B80" s="35" t="s">
        <v>739</v>
      </c>
      <c r="C80" s="21">
        <f>9/12*100</f>
        <v>75</v>
      </c>
      <c r="D80" s="22">
        <v>2</v>
      </c>
      <c r="E80" s="22" t="s">
        <v>275</v>
      </c>
      <c r="F80" s="22" t="s">
        <v>17</v>
      </c>
      <c r="G80" s="22">
        <v>310</v>
      </c>
      <c r="H80" s="22" t="s">
        <v>18</v>
      </c>
      <c r="I80" s="22" t="s">
        <v>162</v>
      </c>
      <c r="J80" s="22">
        <v>7.3</v>
      </c>
      <c r="K80" s="22">
        <v>0.05</v>
      </c>
      <c r="L80" s="22">
        <f>K80/J80</f>
        <v>0.006849315068493151</v>
      </c>
      <c r="M80" s="22" t="s">
        <v>20</v>
      </c>
      <c r="N80" s="22">
        <v>0.0115</v>
      </c>
      <c r="O80" s="19" t="s">
        <v>21</v>
      </c>
      <c r="P80" s="19">
        <v>30</v>
      </c>
      <c r="Q80" s="19">
        <v>-2.24466059843536</v>
      </c>
      <c r="R80" s="19">
        <v>0.370392720193528</v>
      </c>
      <c r="S80" s="19">
        <v>0.144694511704744</v>
      </c>
      <c r="T80" s="19">
        <v>0.000747732204195517</v>
      </c>
      <c r="U80" s="19">
        <v>14.246916424932</v>
      </c>
      <c r="W80" s="23" t="s">
        <v>277</v>
      </c>
    </row>
    <row r="81" spans="1:23" s="23" customFormat="1" ht="51">
      <c r="A81" s="20" t="s">
        <v>278</v>
      </c>
      <c r="B81" s="35" t="s">
        <v>819</v>
      </c>
      <c r="C81" s="21">
        <f>12/18*100</f>
        <v>66.66666666666666</v>
      </c>
      <c r="D81" s="22">
        <v>2</v>
      </c>
      <c r="E81" s="22" t="s">
        <v>128</v>
      </c>
      <c r="F81" s="22" t="s">
        <v>17</v>
      </c>
      <c r="G81" s="22">
        <v>757</v>
      </c>
      <c r="H81" s="22" t="s">
        <v>18</v>
      </c>
      <c r="I81" s="22" t="s">
        <v>162</v>
      </c>
      <c r="J81" s="22">
        <v>31.8</v>
      </c>
      <c r="K81" s="22">
        <v>0.1</v>
      </c>
      <c r="L81" s="22">
        <f>K81/J81</f>
        <v>0.0031446540880503146</v>
      </c>
      <c r="M81" s="22" t="s">
        <v>20</v>
      </c>
      <c r="N81" s="22">
        <v>0.0115</v>
      </c>
      <c r="O81" s="19" t="s">
        <v>21</v>
      </c>
      <c r="P81" s="19">
        <v>12</v>
      </c>
      <c r="Q81" s="19">
        <v>-3.84568811886237</v>
      </c>
      <c r="R81" s="19">
        <v>0.120828954862371</v>
      </c>
      <c r="S81" s="19">
        <v>0.883244464702667</v>
      </c>
      <c r="T81" s="19">
        <v>0.0780120784427901</v>
      </c>
      <c r="U81" s="19">
        <v>1.10418942309782</v>
      </c>
      <c r="W81" s="23" t="s">
        <v>279</v>
      </c>
    </row>
    <row r="82" spans="1:23" s="23" customFormat="1" ht="63.75">
      <c r="A82" s="20" t="s">
        <v>280</v>
      </c>
      <c r="B82" s="35" t="s">
        <v>820</v>
      </c>
      <c r="C82" s="21">
        <v>100</v>
      </c>
      <c r="D82" s="22">
        <v>5</v>
      </c>
      <c r="E82" s="22" t="s">
        <v>281</v>
      </c>
      <c r="F82" s="22" t="s">
        <v>17</v>
      </c>
      <c r="G82" s="22">
        <v>307</v>
      </c>
      <c r="H82" s="22" t="s">
        <v>54</v>
      </c>
      <c r="I82" s="22"/>
      <c r="J82" s="22">
        <v>6.5</v>
      </c>
      <c r="K82" s="22">
        <v>0.01</v>
      </c>
      <c r="L82" s="22">
        <f>K82/J82</f>
        <v>0.0015384615384615385</v>
      </c>
      <c r="M82" s="22" t="s">
        <v>20</v>
      </c>
      <c r="N82" s="22">
        <v>0.0115</v>
      </c>
      <c r="O82" s="19" t="s">
        <v>21</v>
      </c>
      <c r="P82" s="19">
        <v>11</v>
      </c>
      <c r="Q82" s="19">
        <v>0.439899679577746</v>
      </c>
      <c r="R82" s="19">
        <v>1.32684489770189</v>
      </c>
      <c r="S82" s="19">
        <v>0.224474407132152</v>
      </c>
      <c r="T82" s="19">
        <v>0.00559875105081458</v>
      </c>
      <c r="U82" s="19">
        <v>8.21237704565217</v>
      </c>
      <c r="W82" s="23" t="s">
        <v>282</v>
      </c>
    </row>
    <row r="83" spans="1:23" s="23" customFormat="1" ht="38.25">
      <c r="A83" s="20" t="s">
        <v>283</v>
      </c>
      <c r="B83" s="35" t="s">
        <v>821</v>
      </c>
      <c r="C83" s="21">
        <f>11/14*100</f>
        <v>78.57142857142857</v>
      </c>
      <c r="D83" s="22">
        <v>4</v>
      </c>
      <c r="E83" s="22" t="s">
        <v>43</v>
      </c>
      <c r="F83" s="22" t="s">
        <v>17</v>
      </c>
      <c r="G83" s="22">
        <v>800</v>
      </c>
      <c r="H83" s="22" t="s">
        <v>18</v>
      </c>
      <c r="I83" s="22" t="s">
        <v>162</v>
      </c>
      <c r="J83" s="22">
        <v>101.2</v>
      </c>
      <c r="K83" s="22">
        <v>9</v>
      </c>
      <c r="L83" s="22">
        <f>K83/J83</f>
        <v>0.08893280632411067</v>
      </c>
      <c r="M83" s="22" t="s">
        <v>30</v>
      </c>
      <c r="N83" s="22">
        <v>1</v>
      </c>
      <c r="O83" s="19" t="s">
        <v>21</v>
      </c>
      <c r="P83" s="19">
        <v>11</v>
      </c>
      <c r="Q83" s="19">
        <v>-1.89711433450112</v>
      </c>
      <c r="R83" s="19">
        <v>0.36470518827341</v>
      </c>
      <c r="S83" s="19">
        <v>0.193240405516169</v>
      </c>
      <c r="T83" s="19">
        <v>0.00414909492489483</v>
      </c>
      <c r="U83" s="19">
        <v>6.5993700352375</v>
      </c>
      <c r="W83" s="23" t="s">
        <v>284</v>
      </c>
    </row>
    <row r="84" spans="1:23" s="23" customFormat="1" ht="51">
      <c r="A84" s="1" t="s">
        <v>285</v>
      </c>
      <c r="B84" s="35" t="s">
        <v>822</v>
      </c>
      <c r="C84" s="21">
        <v>100</v>
      </c>
      <c r="D84" s="22">
        <v>7</v>
      </c>
      <c r="E84" s="22" t="s">
        <v>286</v>
      </c>
      <c r="F84" s="22" t="s">
        <v>24</v>
      </c>
      <c r="G84" s="22"/>
      <c r="H84" s="22" t="s">
        <v>18</v>
      </c>
      <c r="I84" s="22" t="s">
        <v>74</v>
      </c>
      <c r="J84" s="22">
        <v>4.5</v>
      </c>
      <c r="K84" s="22">
        <v>0.01</v>
      </c>
      <c r="L84" s="22">
        <f>K84/J84</f>
        <v>0.0022222222222222222</v>
      </c>
      <c r="M84" s="22" t="s">
        <v>20</v>
      </c>
      <c r="N84" s="22"/>
      <c r="O84" s="19" t="s">
        <v>21</v>
      </c>
      <c r="P84" s="19">
        <v>26</v>
      </c>
      <c r="Q84" s="19">
        <v>-3.84240063037475</v>
      </c>
      <c r="R84" s="19">
        <v>0.295519409798167</v>
      </c>
      <c r="S84" s="19" t="s">
        <v>720</v>
      </c>
      <c r="T84" s="19" t="s">
        <v>720</v>
      </c>
      <c r="U84" s="19" t="s">
        <v>720</v>
      </c>
      <c r="W84" s="23" t="s">
        <v>287</v>
      </c>
    </row>
    <row r="85" spans="1:23" s="23" customFormat="1" ht="51">
      <c r="A85" s="20" t="s">
        <v>288</v>
      </c>
      <c r="B85" s="35" t="s">
        <v>823</v>
      </c>
      <c r="C85" s="21">
        <v>100</v>
      </c>
      <c r="D85" s="22">
        <v>4</v>
      </c>
      <c r="E85" s="22" t="s">
        <v>289</v>
      </c>
      <c r="F85" s="22" t="s">
        <v>17</v>
      </c>
      <c r="G85" s="22"/>
      <c r="H85" s="22" t="s">
        <v>18</v>
      </c>
      <c r="I85" s="3" t="s">
        <v>19</v>
      </c>
      <c r="J85" s="22">
        <v>22.2</v>
      </c>
      <c r="K85" s="22">
        <v>0.1</v>
      </c>
      <c r="L85" s="22">
        <f>K85/J85</f>
        <v>0.0045045045045045045</v>
      </c>
      <c r="M85" s="22" t="s">
        <v>20</v>
      </c>
      <c r="N85" s="22">
        <v>0.0115</v>
      </c>
      <c r="O85" s="19" t="s">
        <v>55</v>
      </c>
      <c r="P85" s="19">
        <v>8</v>
      </c>
      <c r="Q85" s="19">
        <v>-1.95601449160225</v>
      </c>
      <c r="R85" s="19">
        <v>0.613422632464323</v>
      </c>
      <c r="S85" s="19">
        <v>0.0453866616741338</v>
      </c>
      <c r="T85" s="19">
        <v>0.000343324842987049</v>
      </c>
      <c r="U85" s="19">
        <v>20.8382318260869</v>
      </c>
      <c r="W85" s="23" t="s">
        <v>290</v>
      </c>
    </row>
    <row r="86" spans="1:23" s="23" customFormat="1" ht="51">
      <c r="A86" s="20" t="s">
        <v>291</v>
      </c>
      <c r="B86" s="35" t="s">
        <v>824</v>
      </c>
      <c r="C86" s="21">
        <v>100</v>
      </c>
      <c r="D86" s="22">
        <v>1</v>
      </c>
      <c r="E86" s="22" t="s">
        <v>292</v>
      </c>
      <c r="F86" s="22" t="s">
        <v>17</v>
      </c>
      <c r="G86" s="22">
        <v>2510</v>
      </c>
      <c r="H86" s="22" t="s">
        <v>18</v>
      </c>
      <c r="I86" s="22" t="s">
        <v>116</v>
      </c>
      <c r="J86" s="22">
        <v>14.3</v>
      </c>
      <c r="K86" s="22">
        <v>0.05</v>
      </c>
      <c r="L86" s="22">
        <f>K86/J86</f>
        <v>0.0034965034965034965</v>
      </c>
      <c r="M86" s="22" t="s">
        <v>20</v>
      </c>
      <c r="N86" s="22">
        <v>0.0115</v>
      </c>
      <c r="O86" s="19" t="s">
        <v>21</v>
      </c>
      <c r="P86" s="19">
        <v>13</v>
      </c>
      <c r="Q86" s="19">
        <v>-3.36330982607588</v>
      </c>
      <c r="R86" s="19">
        <v>0.144159951455161</v>
      </c>
      <c r="S86" s="19">
        <v>0.0901176680974246</v>
      </c>
      <c r="T86" s="19">
        <v>0.00073829037302887</v>
      </c>
      <c r="U86" s="19">
        <v>13.2476370288383</v>
      </c>
      <c r="W86" s="23" t="s">
        <v>293</v>
      </c>
    </row>
    <row r="87" spans="1:23" s="23" customFormat="1" ht="51">
      <c r="A87" s="1" t="s">
        <v>295</v>
      </c>
      <c r="B87" s="35" t="s">
        <v>825</v>
      </c>
      <c r="C87" s="21">
        <v>100</v>
      </c>
      <c r="D87" s="22">
        <v>4</v>
      </c>
      <c r="E87" s="22" t="s">
        <v>296</v>
      </c>
      <c r="F87" s="22" t="s">
        <v>24</v>
      </c>
      <c r="G87" s="22">
        <f>1140+986</f>
        <v>2126</v>
      </c>
      <c r="H87" s="22" t="s">
        <v>18</v>
      </c>
      <c r="I87" s="22" t="s">
        <v>19</v>
      </c>
      <c r="J87" s="22">
        <v>4</v>
      </c>
      <c r="K87" s="22">
        <v>0.01</v>
      </c>
      <c r="L87" s="22">
        <f>K87/J87</f>
        <v>0.0025</v>
      </c>
      <c r="M87" s="22" t="s">
        <v>20</v>
      </c>
      <c r="N87" s="22"/>
      <c r="O87" s="19" t="s">
        <v>21</v>
      </c>
      <c r="P87" s="19">
        <v>10</v>
      </c>
      <c r="Q87" s="19">
        <v>-0.371439323441457</v>
      </c>
      <c r="R87" s="19">
        <v>0.171123637996586</v>
      </c>
      <c r="S87" s="19" t="s">
        <v>720</v>
      </c>
      <c r="T87" s="19" t="s">
        <v>720</v>
      </c>
      <c r="U87" s="19" t="s">
        <v>720</v>
      </c>
      <c r="W87" s="23" t="s">
        <v>297</v>
      </c>
    </row>
    <row r="88" spans="1:23" s="23" customFormat="1" ht="51">
      <c r="A88" s="1" t="s">
        <v>298</v>
      </c>
      <c r="B88" s="35" t="s">
        <v>826</v>
      </c>
      <c r="C88" s="4">
        <f>16/17*100</f>
        <v>94.11764705882352</v>
      </c>
      <c r="D88" s="3">
        <v>4</v>
      </c>
      <c r="E88" s="3" t="s">
        <v>90</v>
      </c>
      <c r="F88" s="3" t="s">
        <v>17</v>
      </c>
      <c r="G88" s="3">
        <v>675</v>
      </c>
      <c r="H88" s="3" t="s">
        <v>18</v>
      </c>
      <c r="I88" s="3" t="s">
        <v>19</v>
      </c>
      <c r="J88" s="3">
        <v>0.197</v>
      </c>
      <c r="K88" s="3">
        <v>0.05</v>
      </c>
      <c r="L88" s="3">
        <f>K88/J88</f>
        <v>0.25380710659898476</v>
      </c>
      <c r="M88" s="3" t="s">
        <v>20</v>
      </c>
      <c r="N88" s="22">
        <v>0.0115</v>
      </c>
      <c r="O88" s="2" t="s">
        <v>55</v>
      </c>
      <c r="P88" s="19">
        <v>15</v>
      </c>
      <c r="Q88" s="19">
        <v>-3.4773329503256</v>
      </c>
      <c r="R88" s="19">
        <v>0.126630269924051</v>
      </c>
      <c r="S88" s="19">
        <v>0.0460322413693177</v>
      </c>
      <c r="T88" s="19">
        <v>0.000162997480421779</v>
      </c>
      <c r="U88" s="19">
        <v>28.8948701074504</v>
      </c>
      <c r="W88" s="6" t="s">
        <v>299</v>
      </c>
    </row>
    <row r="89" spans="1:23" s="23" customFormat="1" ht="51">
      <c r="A89" s="1" t="s">
        <v>300</v>
      </c>
      <c r="B89" s="35" t="s">
        <v>827</v>
      </c>
      <c r="C89" s="4">
        <f>19/22*100</f>
        <v>86.36363636363636</v>
      </c>
      <c r="D89" s="3">
        <v>1</v>
      </c>
      <c r="E89" s="3" t="s">
        <v>301</v>
      </c>
      <c r="F89" s="3" t="s">
        <v>17</v>
      </c>
      <c r="G89" s="3">
        <v>842</v>
      </c>
      <c r="H89" s="3" t="s">
        <v>25</v>
      </c>
      <c r="I89" s="3" t="s">
        <v>162</v>
      </c>
      <c r="J89" s="3">
        <v>2.4</v>
      </c>
      <c r="K89" s="3">
        <f>1/G89</f>
        <v>0.0011876484560570072</v>
      </c>
      <c r="L89" s="3">
        <f>K89/J89</f>
        <v>0.0004948535233570864</v>
      </c>
      <c r="M89" s="3" t="s">
        <v>20</v>
      </c>
      <c r="N89" s="22">
        <v>0.0115</v>
      </c>
      <c r="O89" s="2" t="s">
        <v>21</v>
      </c>
      <c r="P89" s="19">
        <v>18</v>
      </c>
      <c r="Q89" s="19">
        <v>-3.41444449397933</v>
      </c>
      <c r="R89" s="19">
        <v>0.15521766302979</v>
      </c>
      <c r="S89" s="19">
        <v>1.00675894876088</v>
      </c>
      <c r="T89" s="19">
        <v>0.063347723806883</v>
      </c>
      <c r="U89" s="19">
        <v>1.80700898592995</v>
      </c>
      <c r="W89" s="5" t="s">
        <v>302</v>
      </c>
    </row>
    <row r="90" spans="1:23" s="23" customFormat="1" ht="51">
      <c r="A90" s="1" t="s">
        <v>303</v>
      </c>
      <c r="B90" s="35" t="s">
        <v>960</v>
      </c>
      <c r="C90" s="4">
        <v>100</v>
      </c>
      <c r="D90" s="3">
        <v>2</v>
      </c>
      <c r="E90" s="3" t="s">
        <v>304</v>
      </c>
      <c r="F90" s="3" t="s">
        <v>17</v>
      </c>
      <c r="G90" s="3">
        <v>1714</v>
      </c>
      <c r="H90" s="3" t="s">
        <v>54</v>
      </c>
      <c r="I90" s="3" t="s">
        <v>305</v>
      </c>
      <c r="J90" s="3">
        <v>3.2</v>
      </c>
      <c r="K90" s="3">
        <v>0.01</v>
      </c>
      <c r="L90" s="3">
        <f>K90/J90</f>
        <v>0.0031249999999999997</v>
      </c>
      <c r="M90" s="3" t="s">
        <v>20</v>
      </c>
      <c r="N90" s="22">
        <v>0.0115</v>
      </c>
      <c r="O90" s="2" t="s">
        <v>21</v>
      </c>
      <c r="P90" s="19">
        <v>4</v>
      </c>
      <c r="Q90" s="19">
        <v>-1.08071410119636</v>
      </c>
      <c r="R90" s="19">
        <v>0.00557372175980974</v>
      </c>
      <c r="S90" s="19">
        <v>0.0580899763220205</v>
      </c>
      <c r="T90" s="19">
        <v>0.00168722267454645</v>
      </c>
      <c r="U90" s="19">
        <v>10.9103260869565</v>
      </c>
      <c r="W90" s="5" t="s">
        <v>306</v>
      </c>
    </row>
    <row r="91" spans="1:23" s="5" customFormat="1" ht="38.25">
      <c r="A91" s="1" t="s">
        <v>307</v>
      </c>
      <c r="B91" s="35" t="s">
        <v>828</v>
      </c>
      <c r="C91" s="4">
        <v>100</v>
      </c>
      <c r="D91" s="3" t="s">
        <v>38</v>
      </c>
      <c r="E91" s="3" t="s">
        <v>43</v>
      </c>
      <c r="F91" s="3" t="s">
        <v>17</v>
      </c>
      <c r="G91" s="3">
        <v>1143</v>
      </c>
      <c r="H91" s="3" t="s">
        <v>18</v>
      </c>
      <c r="I91" s="3" t="s">
        <v>19</v>
      </c>
      <c r="J91" s="3">
        <v>8.7</v>
      </c>
      <c r="K91" s="3">
        <f>50/G91</f>
        <v>0.04374453193350831</v>
      </c>
      <c r="L91" s="3">
        <f>K91/J91</f>
        <v>0.005028107118794059</v>
      </c>
      <c r="M91" s="3" t="s">
        <v>20</v>
      </c>
      <c r="N91" s="22">
        <v>0.0115</v>
      </c>
      <c r="O91" s="2" t="s">
        <v>21</v>
      </c>
      <c r="P91" s="19">
        <v>6</v>
      </c>
      <c r="Q91" s="19">
        <v>-0.307761093906866</v>
      </c>
      <c r="R91" s="19">
        <v>0.919009303716408</v>
      </c>
      <c r="S91" s="19">
        <v>0.0504053565627777</v>
      </c>
      <c r="T91" s="19">
        <v>0.000635174992555191</v>
      </c>
      <c r="U91" s="19">
        <v>20.0577746630434</v>
      </c>
      <c r="W91" s="5" t="s">
        <v>308</v>
      </c>
    </row>
    <row r="92" spans="1:23" s="5" customFormat="1" ht="51">
      <c r="A92" s="1" t="s">
        <v>309</v>
      </c>
      <c r="B92" s="35" t="s">
        <v>829</v>
      </c>
      <c r="C92" s="4">
        <f>7/13*100</f>
        <v>53.84615384615385</v>
      </c>
      <c r="D92" s="3">
        <v>2</v>
      </c>
      <c r="E92" s="3" t="s">
        <v>294</v>
      </c>
      <c r="F92" s="3" t="s">
        <v>17</v>
      </c>
      <c r="G92" s="3">
        <f>421+543</f>
        <v>964</v>
      </c>
      <c r="H92" s="3" t="s">
        <v>54</v>
      </c>
      <c r="I92" s="3" t="s">
        <v>234</v>
      </c>
      <c r="J92" s="3">
        <v>4.5</v>
      </c>
      <c r="K92" s="3">
        <v>0.01</v>
      </c>
      <c r="L92" s="3">
        <f>K92/J92</f>
        <v>0.0022222222222222222</v>
      </c>
      <c r="M92" s="3" t="s">
        <v>20</v>
      </c>
      <c r="N92" s="22">
        <v>0.0115</v>
      </c>
      <c r="O92" s="2" t="s">
        <v>21</v>
      </c>
      <c r="P92" s="19">
        <v>7</v>
      </c>
      <c r="Q92" s="19">
        <v>-0.638158790139437</v>
      </c>
      <c r="R92" s="19">
        <v>0.421319469235316</v>
      </c>
      <c r="S92" s="19">
        <v>0.190397370033114</v>
      </c>
      <c r="T92" s="19">
        <v>0.00725023170310534</v>
      </c>
      <c r="U92" s="19">
        <v>6.25422642771739</v>
      </c>
      <c r="W92" s="5" t="s">
        <v>310</v>
      </c>
    </row>
    <row r="93" spans="1:23" s="5" customFormat="1" ht="51">
      <c r="A93" s="1" t="s">
        <v>311</v>
      </c>
      <c r="B93" s="35" t="s">
        <v>830</v>
      </c>
      <c r="C93" s="4">
        <v>100</v>
      </c>
      <c r="D93" s="3">
        <v>1</v>
      </c>
      <c r="E93" s="3" t="s">
        <v>312</v>
      </c>
      <c r="F93" s="3" t="s">
        <v>17</v>
      </c>
      <c r="G93" s="3">
        <v>572</v>
      </c>
      <c r="H93" s="3" t="s">
        <v>54</v>
      </c>
      <c r="I93" s="3" t="s">
        <v>162</v>
      </c>
      <c r="J93" s="3">
        <v>3.3</v>
      </c>
      <c r="K93" s="3">
        <v>0.05</v>
      </c>
      <c r="L93" s="3">
        <f>K93/J93</f>
        <v>0.015151515151515154</v>
      </c>
      <c r="M93" s="3" t="s">
        <v>20</v>
      </c>
      <c r="N93" s="22">
        <v>0.0115</v>
      </c>
      <c r="O93" s="2" t="s">
        <v>21</v>
      </c>
      <c r="P93" s="19">
        <v>4</v>
      </c>
      <c r="Q93" s="19">
        <v>-0.51011218429805</v>
      </c>
      <c r="R93" s="19">
        <v>0.247830891352174</v>
      </c>
      <c r="S93" s="19">
        <v>0.029475728450097</v>
      </c>
      <c r="T93" s="19">
        <v>0.000434409283831931</v>
      </c>
      <c r="U93" s="19">
        <v>23.4025030597826</v>
      </c>
      <c r="W93" s="5" t="s">
        <v>313</v>
      </c>
    </row>
    <row r="94" spans="1:23" s="5" customFormat="1" ht="51">
      <c r="A94" s="1" t="s">
        <v>314</v>
      </c>
      <c r="B94" s="35" t="s">
        <v>831</v>
      </c>
      <c r="C94" s="4">
        <f>26/28*100</f>
        <v>92.85714285714286</v>
      </c>
      <c r="D94" s="3">
        <v>3</v>
      </c>
      <c r="E94" s="3" t="s">
        <v>115</v>
      </c>
      <c r="F94" s="3" t="s">
        <v>17</v>
      </c>
      <c r="G94" s="3">
        <f>474+414</f>
        <v>888</v>
      </c>
      <c r="H94" s="3" t="s">
        <v>18</v>
      </c>
      <c r="I94" s="3" t="s">
        <v>19</v>
      </c>
      <c r="J94" s="3">
        <v>3.3</v>
      </c>
      <c r="K94" s="3">
        <v>0.01</v>
      </c>
      <c r="L94" s="3">
        <f>K94/J94</f>
        <v>0.0030303030303030307</v>
      </c>
      <c r="M94" s="3" t="s">
        <v>20</v>
      </c>
      <c r="N94" s="22">
        <v>0.0115</v>
      </c>
      <c r="O94" s="2" t="s">
        <v>55</v>
      </c>
      <c r="P94" s="19">
        <v>24</v>
      </c>
      <c r="Q94" s="19">
        <v>-1.74102333864646</v>
      </c>
      <c r="R94" s="19">
        <v>0.414018955513531</v>
      </c>
      <c r="S94" s="19">
        <v>0.135480731577931</v>
      </c>
      <c r="T94" s="19">
        <v>0.000834319483131427</v>
      </c>
      <c r="U94" s="19">
        <v>16.642271737398</v>
      </c>
      <c r="W94" s="5" t="s">
        <v>315</v>
      </c>
    </row>
    <row r="95" spans="1:23" s="5" customFormat="1" ht="38.25">
      <c r="A95" s="1" t="s">
        <v>316</v>
      </c>
      <c r="B95" s="35" t="s">
        <v>832</v>
      </c>
      <c r="C95" s="4">
        <v>100</v>
      </c>
      <c r="D95" s="3">
        <v>4</v>
      </c>
      <c r="E95" s="3" t="s">
        <v>317</v>
      </c>
      <c r="F95" s="3" t="s">
        <v>17</v>
      </c>
      <c r="G95" s="3">
        <v>813</v>
      </c>
      <c r="H95" s="3" t="s">
        <v>54</v>
      </c>
      <c r="I95" s="3" t="s">
        <v>234</v>
      </c>
      <c r="J95" s="3">
        <v>9.3</v>
      </c>
      <c r="K95" s="3">
        <v>0.01</v>
      </c>
      <c r="L95" s="3">
        <f>K95/J95</f>
        <v>0.001075268817204301</v>
      </c>
      <c r="M95" s="3" t="s">
        <v>20</v>
      </c>
      <c r="N95" s="22">
        <v>0.0115</v>
      </c>
      <c r="O95" s="2" t="s">
        <v>21</v>
      </c>
      <c r="P95" s="19">
        <v>5</v>
      </c>
      <c r="Q95" s="19">
        <v>-0.443609022556391</v>
      </c>
      <c r="R95" s="19">
        <v>0.484084153628783</v>
      </c>
      <c r="S95" s="19">
        <v>0.482481120985728</v>
      </c>
      <c r="T95" s="19">
        <v>0.0775960107025483</v>
      </c>
      <c r="U95" s="19">
        <v>1.87470812608695</v>
      </c>
      <c r="W95" s="5" t="s">
        <v>318</v>
      </c>
    </row>
    <row r="96" spans="1:23" s="5" customFormat="1" ht="51">
      <c r="A96" s="1" t="s">
        <v>319</v>
      </c>
      <c r="B96" s="35" t="s">
        <v>740</v>
      </c>
      <c r="C96" s="4">
        <v>100</v>
      </c>
      <c r="D96" s="3">
        <v>3</v>
      </c>
      <c r="E96" s="3" t="s">
        <v>320</v>
      </c>
      <c r="F96" s="3" t="s">
        <v>17</v>
      </c>
      <c r="G96" s="3">
        <v>2690</v>
      </c>
      <c r="H96" s="3" t="s">
        <v>18</v>
      </c>
      <c r="I96" s="3" t="s">
        <v>247</v>
      </c>
      <c r="J96" s="3">
        <v>8.9</v>
      </c>
      <c r="K96" s="3">
        <v>0.01</v>
      </c>
      <c r="L96" s="3">
        <f>K96/J96</f>
        <v>0.0011235955056179774</v>
      </c>
      <c r="M96" s="3" t="s">
        <v>20</v>
      </c>
      <c r="N96" s="22">
        <v>0.0115</v>
      </c>
      <c r="O96" s="2" t="s">
        <v>21</v>
      </c>
      <c r="P96" s="19">
        <v>17</v>
      </c>
      <c r="Q96" s="19">
        <v>-2.23507869755728</v>
      </c>
      <c r="R96" s="19">
        <v>0.341337728512943</v>
      </c>
      <c r="S96" s="19">
        <v>0.270337968742788</v>
      </c>
      <c r="T96" s="19">
        <v>0.00487217448959846</v>
      </c>
      <c r="U96" s="19">
        <v>6.23305721249999</v>
      </c>
      <c r="W96" s="5" t="s">
        <v>321</v>
      </c>
    </row>
    <row r="97" spans="1:23" s="5" customFormat="1" ht="38.25">
      <c r="A97" s="1" t="s">
        <v>322</v>
      </c>
      <c r="B97" s="35" t="s">
        <v>833</v>
      </c>
      <c r="C97" s="4">
        <f>12/14*100</f>
        <v>85.71428571428571</v>
      </c>
      <c r="D97" s="3">
        <v>6</v>
      </c>
      <c r="E97" s="3" t="s">
        <v>323</v>
      </c>
      <c r="F97" s="3" t="s">
        <v>17</v>
      </c>
      <c r="G97" s="3">
        <v>657</v>
      </c>
      <c r="H97" s="3" t="s">
        <v>18</v>
      </c>
      <c r="I97" s="3" t="s">
        <v>162</v>
      </c>
      <c r="J97" s="3" t="s">
        <v>34</v>
      </c>
      <c r="K97" s="3"/>
      <c r="L97" s="3"/>
      <c r="M97" s="3"/>
      <c r="N97" s="3"/>
      <c r="O97" s="2" t="s">
        <v>21</v>
      </c>
      <c r="P97" s="19">
        <v>25</v>
      </c>
      <c r="Q97" s="19">
        <v>-2.73428519377507</v>
      </c>
      <c r="R97" s="19">
        <v>0.412707433003752</v>
      </c>
      <c r="S97" s="19" t="s">
        <v>720</v>
      </c>
      <c r="T97" s="19" t="s">
        <v>720</v>
      </c>
      <c r="U97" s="19" t="s">
        <v>720</v>
      </c>
      <c r="W97" s="5" t="s">
        <v>324</v>
      </c>
    </row>
    <row r="98" spans="1:23" s="5" customFormat="1" ht="38.25">
      <c r="A98" s="1" t="s">
        <v>325</v>
      </c>
      <c r="B98" s="35" t="s">
        <v>834</v>
      </c>
      <c r="C98" s="4">
        <f>21/30*100</f>
        <v>70</v>
      </c>
      <c r="D98" s="3">
        <v>3</v>
      </c>
      <c r="E98" s="3" t="s">
        <v>43</v>
      </c>
      <c r="F98" s="3" t="s">
        <v>17</v>
      </c>
      <c r="G98" s="3">
        <v>660</v>
      </c>
      <c r="H98" s="3" t="s">
        <v>18</v>
      </c>
      <c r="I98" s="3"/>
      <c r="J98" s="3">
        <v>22.7</v>
      </c>
      <c r="K98" s="3">
        <v>0.1</v>
      </c>
      <c r="L98" s="3">
        <f>K98/J98</f>
        <v>0.004405286343612335</v>
      </c>
      <c r="M98" s="3" t="s">
        <v>20</v>
      </c>
      <c r="N98" s="22">
        <v>0.0115</v>
      </c>
      <c r="O98" s="2" t="s">
        <v>21</v>
      </c>
      <c r="P98" s="19">
        <v>13</v>
      </c>
      <c r="Q98" s="19">
        <v>-1.88406183887492</v>
      </c>
      <c r="R98" s="19">
        <v>0.361728653491735</v>
      </c>
      <c r="S98" s="19">
        <v>0.0983733978175436</v>
      </c>
      <c r="T98" s="19">
        <v>0.000879756854378973</v>
      </c>
      <c r="U98" s="19">
        <v>14.4150414919836</v>
      </c>
      <c r="W98" s="5" t="s">
        <v>326</v>
      </c>
    </row>
    <row r="99" spans="1:23" s="5" customFormat="1" ht="51">
      <c r="A99" s="1" t="s">
        <v>327</v>
      </c>
      <c r="B99" s="35" t="s">
        <v>835</v>
      </c>
      <c r="C99" s="4">
        <v>100</v>
      </c>
      <c r="D99" s="3">
        <v>2</v>
      </c>
      <c r="E99" s="3" t="s">
        <v>323</v>
      </c>
      <c r="F99" s="3" t="s">
        <v>17</v>
      </c>
      <c r="G99" s="3">
        <v>903</v>
      </c>
      <c r="H99" s="3" t="s">
        <v>18</v>
      </c>
      <c r="I99" s="3" t="s">
        <v>19</v>
      </c>
      <c r="J99" s="3">
        <v>1.2</v>
      </c>
      <c r="K99" s="3">
        <f>10/G99</f>
        <v>0.01107419712070875</v>
      </c>
      <c r="L99" s="3">
        <f>K99/J99</f>
        <v>0.009228497600590625</v>
      </c>
      <c r="M99" s="3" t="s">
        <v>20</v>
      </c>
      <c r="N99" s="22">
        <v>0.0115</v>
      </c>
      <c r="O99" s="2" t="s">
        <v>21</v>
      </c>
      <c r="P99" s="19">
        <v>9</v>
      </c>
      <c r="Q99" s="19">
        <v>-1.21236522111327</v>
      </c>
      <c r="R99" s="19">
        <v>0.36516689761043</v>
      </c>
      <c r="S99" s="19">
        <v>0.104592081804189</v>
      </c>
      <c r="T99" s="19">
        <v>0.00156278622516205</v>
      </c>
      <c r="U99" s="19">
        <v>12.4283793717391</v>
      </c>
      <c r="W99" s="5" t="s">
        <v>328</v>
      </c>
    </row>
    <row r="100" spans="1:23" s="5" customFormat="1" ht="51">
      <c r="A100" s="1" t="s">
        <v>329</v>
      </c>
      <c r="B100" s="35" t="s">
        <v>836</v>
      </c>
      <c r="C100" s="4">
        <f>4/7*100</f>
        <v>57.14285714285714</v>
      </c>
      <c r="D100" s="3">
        <v>3</v>
      </c>
      <c r="E100" s="3" t="s">
        <v>330</v>
      </c>
      <c r="F100" s="3" t="s">
        <v>17</v>
      </c>
      <c r="G100" s="3">
        <v>1110</v>
      </c>
      <c r="H100" s="3" t="s">
        <v>18</v>
      </c>
      <c r="I100" s="3" t="s">
        <v>964</v>
      </c>
      <c r="J100" s="3">
        <v>2</v>
      </c>
      <c r="K100" s="3">
        <f>1/G100</f>
        <v>0.0009009009009009009</v>
      </c>
      <c r="L100" s="3">
        <f>K100/J100</f>
        <v>0.00045045045045045046</v>
      </c>
      <c r="M100" s="3" t="s">
        <v>20</v>
      </c>
      <c r="N100" s="22">
        <v>0.0115</v>
      </c>
      <c r="O100" s="2" t="s">
        <v>21</v>
      </c>
      <c r="P100" s="19">
        <v>5</v>
      </c>
      <c r="Q100" s="19">
        <v>-1.28295819935691</v>
      </c>
      <c r="R100" s="19">
        <v>0.106952079786875</v>
      </c>
      <c r="S100" s="19">
        <v>0.49254068546673</v>
      </c>
      <c r="T100" s="19">
        <v>0.0808654422800122</v>
      </c>
      <c r="U100" s="19">
        <v>1.6020352173913</v>
      </c>
      <c r="W100" s="5" t="s">
        <v>331</v>
      </c>
    </row>
    <row r="101" spans="1:23" s="5" customFormat="1" ht="38.25">
      <c r="A101" s="1" t="s">
        <v>332</v>
      </c>
      <c r="B101" s="35" t="s">
        <v>837</v>
      </c>
      <c r="C101" s="4">
        <f>10/19*100</f>
        <v>52.63157894736842</v>
      </c>
      <c r="D101" s="3">
        <v>3</v>
      </c>
      <c r="E101" s="3" t="s">
        <v>312</v>
      </c>
      <c r="F101" s="3" t="s">
        <v>17</v>
      </c>
      <c r="G101" s="3">
        <v>546</v>
      </c>
      <c r="H101" s="3" t="s">
        <v>54</v>
      </c>
      <c r="I101" s="3" t="s">
        <v>87</v>
      </c>
      <c r="J101" s="3">
        <v>30.1</v>
      </c>
      <c r="K101" s="3">
        <v>0.1</v>
      </c>
      <c r="L101" s="3">
        <f>K101/J101</f>
        <v>0.0033222591362126247</v>
      </c>
      <c r="M101" s="3" t="s">
        <v>20</v>
      </c>
      <c r="N101" s="22">
        <v>0.0115</v>
      </c>
      <c r="O101" s="2" t="s">
        <v>55</v>
      </c>
      <c r="P101" s="19">
        <v>10</v>
      </c>
      <c r="Q101" s="19">
        <v>-1.04374973436021</v>
      </c>
      <c r="R101" s="19">
        <v>0.408051707552636</v>
      </c>
      <c r="S101" s="19">
        <v>0.200976149036538</v>
      </c>
      <c r="T101" s="19">
        <v>0.00504892656019461</v>
      </c>
      <c r="U101" s="19">
        <v>7.5166109875</v>
      </c>
      <c r="W101" s="5" t="s">
        <v>333</v>
      </c>
    </row>
    <row r="102" spans="1:23" s="5" customFormat="1" ht="38.25">
      <c r="A102" s="1" t="s">
        <v>334</v>
      </c>
      <c r="B102" s="35" t="s">
        <v>838</v>
      </c>
      <c r="C102" s="4">
        <v>100</v>
      </c>
      <c r="D102" s="3">
        <v>7</v>
      </c>
      <c r="E102" s="3" t="s">
        <v>148</v>
      </c>
      <c r="F102" s="3" t="s">
        <v>17</v>
      </c>
      <c r="G102" s="3">
        <f>536+399</f>
        <v>935</v>
      </c>
      <c r="H102" s="3" t="s">
        <v>18</v>
      </c>
      <c r="I102" s="3" t="s">
        <v>247</v>
      </c>
      <c r="J102" s="3">
        <v>27.7</v>
      </c>
      <c r="K102" s="3">
        <v>0.05</v>
      </c>
      <c r="L102" s="3">
        <f>K102/J102</f>
        <v>0.0018050541516245488</v>
      </c>
      <c r="M102" s="3" t="s">
        <v>20</v>
      </c>
      <c r="N102" s="22">
        <v>0.0115</v>
      </c>
      <c r="O102" s="2" t="s">
        <v>21</v>
      </c>
      <c r="P102" s="19">
        <v>4</v>
      </c>
      <c r="Q102" s="19">
        <v>0.371641703848635</v>
      </c>
      <c r="R102" s="19">
        <v>0.665185183272159</v>
      </c>
      <c r="S102" s="19">
        <v>0.151330178982518</v>
      </c>
      <c r="T102" s="19">
        <v>0.0114504115354406</v>
      </c>
      <c r="U102" s="19">
        <v>5.15028994565217</v>
      </c>
      <c r="W102" s="5" t="s">
        <v>335</v>
      </c>
    </row>
    <row r="103" spans="1:23" s="5" customFormat="1" ht="38.25">
      <c r="A103" s="1" t="s">
        <v>336</v>
      </c>
      <c r="B103" s="35" t="s">
        <v>839</v>
      </c>
      <c r="C103" s="4">
        <f>54/80*100</f>
        <v>67.5</v>
      </c>
      <c r="D103" s="3">
        <v>6</v>
      </c>
      <c r="E103" s="3" t="s">
        <v>337</v>
      </c>
      <c r="F103" s="3" t="s">
        <v>17</v>
      </c>
      <c r="G103" s="3">
        <f>949+965</f>
        <v>1914</v>
      </c>
      <c r="H103" s="3" t="s">
        <v>18</v>
      </c>
      <c r="I103" s="3" t="s">
        <v>19</v>
      </c>
      <c r="J103" s="3">
        <v>103.5</v>
      </c>
      <c r="K103" s="3">
        <v>50</v>
      </c>
      <c r="L103" s="3">
        <f>K103/J103</f>
        <v>0.4830917874396135</v>
      </c>
      <c r="M103" s="3" t="s">
        <v>30</v>
      </c>
      <c r="N103" s="3">
        <v>1</v>
      </c>
      <c r="O103" s="2" t="s">
        <v>55</v>
      </c>
      <c r="P103" s="19">
        <v>54</v>
      </c>
      <c r="Q103" s="19">
        <v>-3.21782071641306</v>
      </c>
      <c r="R103" s="19">
        <v>0.616141221091155</v>
      </c>
      <c r="S103" s="19">
        <v>0.0649490135147242</v>
      </c>
      <c r="T103" s="19">
        <v>8.11225837795351E-05</v>
      </c>
      <c r="U103" s="19">
        <v>31.8781450998153</v>
      </c>
      <c r="W103" s="6" t="s">
        <v>338</v>
      </c>
    </row>
    <row r="104" spans="1:23" s="5" customFormat="1" ht="38.25">
      <c r="A104" s="1" t="s">
        <v>339</v>
      </c>
      <c r="B104" s="35" t="s">
        <v>840</v>
      </c>
      <c r="C104" s="4">
        <v>100</v>
      </c>
      <c r="D104" s="3">
        <v>2</v>
      </c>
      <c r="E104" s="3" t="s">
        <v>148</v>
      </c>
      <c r="F104" s="3" t="s">
        <v>17</v>
      </c>
      <c r="G104" s="3">
        <v>2400</v>
      </c>
      <c r="H104" s="3" t="s">
        <v>18</v>
      </c>
      <c r="I104" s="3" t="s">
        <v>19</v>
      </c>
      <c r="J104" s="3" t="s">
        <v>34</v>
      </c>
      <c r="K104" s="3"/>
      <c r="L104" s="3"/>
      <c r="M104" s="3"/>
      <c r="N104" s="3"/>
      <c r="O104" s="2" t="s">
        <v>21</v>
      </c>
      <c r="P104" s="19">
        <v>17</v>
      </c>
      <c r="Q104" s="19">
        <v>0.029914535303397</v>
      </c>
      <c r="R104" s="19">
        <v>0.677262012286852</v>
      </c>
      <c r="S104" s="19" t="s">
        <v>720</v>
      </c>
      <c r="T104" s="19" t="s">
        <v>720</v>
      </c>
      <c r="U104" s="19" t="s">
        <v>720</v>
      </c>
      <c r="W104" s="6" t="s">
        <v>340</v>
      </c>
    </row>
    <row r="105" spans="1:23" s="5" customFormat="1" ht="51">
      <c r="A105" s="1" t="s">
        <v>341</v>
      </c>
      <c r="B105" s="35" t="s">
        <v>841</v>
      </c>
      <c r="C105" s="4">
        <v>100</v>
      </c>
      <c r="D105" s="3">
        <v>2</v>
      </c>
      <c r="E105" s="3" t="s">
        <v>115</v>
      </c>
      <c r="F105" s="3" t="s">
        <v>17</v>
      </c>
      <c r="G105" s="3">
        <f>541+526</f>
        <v>1067</v>
      </c>
      <c r="H105" s="3" t="s">
        <v>25</v>
      </c>
      <c r="I105" s="3" t="s">
        <v>19</v>
      </c>
      <c r="J105" s="3">
        <v>0.194</v>
      </c>
      <c r="K105" s="3">
        <v>0.05</v>
      </c>
      <c r="L105" s="3">
        <f>K105/J105</f>
        <v>0.2577319587628866</v>
      </c>
      <c r="M105" s="3" t="s">
        <v>20</v>
      </c>
      <c r="N105" s="22">
        <v>0.0115</v>
      </c>
      <c r="O105" s="2" t="s">
        <v>55</v>
      </c>
      <c r="P105" s="19">
        <v>27</v>
      </c>
      <c r="Q105" s="19">
        <v>-4.98473918636625</v>
      </c>
      <c r="R105" s="19">
        <v>0.139145334712068</v>
      </c>
      <c r="S105" s="19">
        <v>0.0801538586892133</v>
      </c>
      <c r="T105" s="19">
        <v>0.000256985642510815</v>
      </c>
      <c r="U105" s="19">
        <v>16.7954742982846</v>
      </c>
      <c r="W105" s="6" t="s">
        <v>342</v>
      </c>
    </row>
    <row r="106" spans="1:23" s="5" customFormat="1" ht="51">
      <c r="A106" s="1" t="s">
        <v>343</v>
      </c>
      <c r="B106" s="35" t="s">
        <v>842</v>
      </c>
      <c r="C106" s="4">
        <v>100</v>
      </c>
      <c r="D106" s="3">
        <v>2</v>
      </c>
      <c r="E106" s="3" t="s">
        <v>243</v>
      </c>
      <c r="F106" s="3" t="s">
        <v>17</v>
      </c>
      <c r="G106" s="3">
        <v>785</v>
      </c>
      <c r="H106" s="3" t="s">
        <v>54</v>
      </c>
      <c r="I106" s="3" t="s">
        <v>234</v>
      </c>
      <c r="J106" s="3">
        <v>37.3</v>
      </c>
      <c r="K106" s="3">
        <v>0.05</v>
      </c>
      <c r="L106" s="3">
        <f>K106/J106</f>
        <v>0.0013404825737265418</v>
      </c>
      <c r="M106" s="3" t="s">
        <v>20</v>
      </c>
      <c r="N106" s="22">
        <v>0.0115</v>
      </c>
      <c r="O106" s="2" t="s">
        <v>21</v>
      </c>
      <c r="P106" s="19">
        <v>49</v>
      </c>
      <c r="Q106" s="19">
        <v>-4.76164666454977</v>
      </c>
      <c r="R106" s="19">
        <v>0.239711506115561</v>
      </c>
      <c r="S106" s="19">
        <v>0.302814490784788</v>
      </c>
      <c r="T106" s="19">
        <v>0.00195099182615427</v>
      </c>
      <c r="U106" s="19">
        <v>6.41420432509341</v>
      </c>
      <c r="W106" s="6" t="s">
        <v>344</v>
      </c>
    </row>
    <row r="107" spans="1:23" s="5" customFormat="1" ht="38.25">
      <c r="A107" s="1" t="s">
        <v>345</v>
      </c>
      <c r="B107" s="35" t="s">
        <v>843</v>
      </c>
      <c r="C107" s="4">
        <v>100</v>
      </c>
      <c r="D107" s="3">
        <v>7</v>
      </c>
      <c r="E107" s="3" t="s">
        <v>128</v>
      </c>
      <c r="F107" s="3" t="s">
        <v>17</v>
      </c>
      <c r="G107" s="3">
        <v>2005</v>
      </c>
      <c r="H107" s="3" t="s">
        <v>18</v>
      </c>
      <c r="I107" s="3" t="s">
        <v>234</v>
      </c>
      <c r="J107" s="3">
        <v>45.8</v>
      </c>
      <c r="K107" s="3">
        <v>0.061</v>
      </c>
      <c r="L107" s="3">
        <f>K107/J107</f>
        <v>0.0013318777292576419</v>
      </c>
      <c r="M107" s="3" t="s">
        <v>20</v>
      </c>
      <c r="N107" s="22">
        <v>0.0115</v>
      </c>
      <c r="O107" s="2" t="s">
        <v>21</v>
      </c>
      <c r="P107" s="19">
        <v>25</v>
      </c>
      <c r="Q107" s="19">
        <v>-4.38818046442887</v>
      </c>
      <c r="R107" s="19">
        <v>0.147061454813132</v>
      </c>
      <c r="S107" s="19">
        <v>0.305721764581216</v>
      </c>
      <c r="T107" s="19">
        <v>0.00406373031907186</v>
      </c>
      <c r="U107" s="19">
        <v>5.19180581655344</v>
      </c>
      <c r="W107" s="6" t="s">
        <v>346</v>
      </c>
    </row>
    <row r="108" spans="1:23" s="5" customFormat="1" ht="51">
      <c r="A108" s="1" t="s">
        <v>347</v>
      </c>
      <c r="B108" s="35" t="s">
        <v>844</v>
      </c>
      <c r="C108" s="4">
        <f>5/6*100</f>
        <v>83.33333333333334</v>
      </c>
      <c r="D108" s="3">
        <v>3</v>
      </c>
      <c r="E108" s="3" t="s">
        <v>43</v>
      </c>
      <c r="F108" s="3" t="s">
        <v>17</v>
      </c>
      <c r="G108" s="3">
        <v>1000</v>
      </c>
      <c r="H108" s="3" t="s">
        <v>54</v>
      </c>
      <c r="I108" s="3" t="s">
        <v>276</v>
      </c>
      <c r="J108" s="3">
        <v>20.2</v>
      </c>
      <c r="K108" s="3">
        <f>50/G108</f>
        <v>0.05</v>
      </c>
      <c r="L108" s="3">
        <f>K108/J108</f>
        <v>0.0024752475247524753</v>
      </c>
      <c r="M108" s="3" t="s">
        <v>20</v>
      </c>
      <c r="N108" s="22">
        <v>0.0115</v>
      </c>
      <c r="O108" s="2" t="s">
        <v>21</v>
      </c>
      <c r="P108" s="19">
        <v>5</v>
      </c>
      <c r="Q108" s="19">
        <v>-2.8559876780901</v>
      </c>
      <c r="R108" s="19">
        <v>0.00252033912496647</v>
      </c>
      <c r="S108" s="19">
        <v>0.0536696084863477</v>
      </c>
      <c r="T108" s="19">
        <v>0.000960142291692617</v>
      </c>
      <c r="U108" s="19">
        <v>11.3807598260869</v>
      </c>
      <c r="W108" s="5" t="s">
        <v>348</v>
      </c>
    </row>
    <row r="109" spans="1:23" s="5" customFormat="1" ht="38.25">
      <c r="A109" s="20" t="s">
        <v>349</v>
      </c>
      <c r="B109" s="35" t="s">
        <v>845</v>
      </c>
      <c r="C109" s="21">
        <f>27/34*100</f>
        <v>79.41176470588235</v>
      </c>
      <c r="D109" s="22">
        <v>3</v>
      </c>
      <c r="E109" s="22" t="s">
        <v>294</v>
      </c>
      <c r="F109" s="22" t="s">
        <v>17</v>
      </c>
      <c r="G109" s="22">
        <f>569+544</f>
        <v>1113</v>
      </c>
      <c r="H109" s="22" t="s">
        <v>18</v>
      </c>
      <c r="I109" s="22" t="s">
        <v>19</v>
      </c>
      <c r="J109" s="22">
        <v>11.7</v>
      </c>
      <c r="K109" s="22">
        <v>0.05</v>
      </c>
      <c r="L109" s="22">
        <f>K109/J109</f>
        <v>0.004273504273504274</v>
      </c>
      <c r="M109" s="22" t="s">
        <v>20</v>
      </c>
      <c r="N109" s="22">
        <v>0.0115</v>
      </c>
      <c r="O109" s="19" t="s">
        <v>21</v>
      </c>
      <c r="P109" s="19">
        <v>22</v>
      </c>
      <c r="Q109" s="19">
        <v>-1.91803339513275</v>
      </c>
      <c r="R109" s="19">
        <v>0.419705738234882</v>
      </c>
      <c r="S109" s="19">
        <v>0.201969389472556</v>
      </c>
      <c r="T109" s="19">
        <v>0.00203958171419586</v>
      </c>
      <c r="U109" s="19">
        <v>9.59167456884058</v>
      </c>
      <c r="W109" s="23" t="s">
        <v>350</v>
      </c>
    </row>
    <row r="110" spans="1:23" s="5" customFormat="1" ht="38.25">
      <c r="A110" s="20" t="s">
        <v>351</v>
      </c>
      <c r="B110" s="35" t="s">
        <v>846</v>
      </c>
      <c r="C110" s="21">
        <v>100</v>
      </c>
      <c r="D110" s="22">
        <v>3</v>
      </c>
      <c r="E110" s="22" t="s">
        <v>209</v>
      </c>
      <c r="F110" s="22" t="s">
        <v>17</v>
      </c>
      <c r="G110" s="22">
        <v>639</v>
      </c>
      <c r="H110" s="22" t="s">
        <v>54</v>
      </c>
      <c r="I110" s="3" t="s">
        <v>116</v>
      </c>
      <c r="J110" s="22">
        <v>59.4</v>
      </c>
      <c r="K110" s="22">
        <v>23.31</v>
      </c>
      <c r="L110" s="22">
        <f>K110/J110</f>
        <v>0.3924242424242424</v>
      </c>
      <c r="M110" s="22" t="s">
        <v>30</v>
      </c>
      <c r="N110" s="3">
        <v>1</v>
      </c>
      <c r="O110" s="19" t="s">
        <v>55</v>
      </c>
      <c r="P110" s="19">
        <v>6</v>
      </c>
      <c r="Q110" s="19">
        <v>-0.892514587323972</v>
      </c>
      <c r="R110" s="19">
        <v>0.301080662892918</v>
      </c>
      <c r="S110" s="19">
        <v>0.0502863848252082</v>
      </c>
      <c r="T110" s="19">
        <v>0.000632180124697232</v>
      </c>
      <c r="U110" s="19">
        <v>22.90776512675</v>
      </c>
      <c r="W110" s="23" t="s">
        <v>352</v>
      </c>
    </row>
    <row r="111" spans="1:23" s="5" customFormat="1" ht="51">
      <c r="A111" s="20" t="s">
        <v>353</v>
      </c>
      <c r="B111" s="35" t="s">
        <v>847</v>
      </c>
      <c r="C111" s="21">
        <v>100</v>
      </c>
      <c r="D111" s="22">
        <v>2</v>
      </c>
      <c r="E111" s="22" t="s">
        <v>148</v>
      </c>
      <c r="F111" s="22" t="s">
        <v>17</v>
      </c>
      <c r="G111" s="22">
        <v>994</v>
      </c>
      <c r="H111" s="22" t="s">
        <v>54</v>
      </c>
      <c r="I111" s="22"/>
      <c r="J111" s="22">
        <v>5.9</v>
      </c>
      <c r="K111" s="22">
        <v>0.01</v>
      </c>
      <c r="L111" s="22">
        <f>K111/J111</f>
        <v>0.001694915254237288</v>
      </c>
      <c r="M111" s="22" t="s">
        <v>20</v>
      </c>
      <c r="N111" s="22">
        <v>0.0115</v>
      </c>
      <c r="O111" s="19" t="s">
        <v>21</v>
      </c>
      <c r="P111" s="19">
        <v>9</v>
      </c>
      <c r="Q111" s="19">
        <v>-2.83861699791551</v>
      </c>
      <c r="R111" s="19">
        <v>0.103248263859586</v>
      </c>
      <c r="S111" s="19">
        <v>0.751701510803235</v>
      </c>
      <c r="T111" s="19">
        <v>0.0807221659062666</v>
      </c>
      <c r="U111" s="19">
        <v>1.4339226539855</v>
      </c>
      <c r="W111" s="23" t="s">
        <v>354</v>
      </c>
    </row>
    <row r="112" spans="1:23" s="5" customFormat="1" ht="38.25">
      <c r="A112" s="20" t="s">
        <v>355</v>
      </c>
      <c r="B112" s="35" t="s">
        <v>848</v>
      </c>
      <c r="C112" s="21">
        <f>31/35*100</f>
        <v>88.57142857142857</v>
      </c>
      <c r="D112" s="22">
        <v>5</v>
      </c>
      <c r="E112" s="22" t="s">
        <v>356</v>
      </c>
      <c r="F112" s="22" t="s">
        <v>17</v>
      </c>
      <c r="G112" s="22">
        <v>1033</v>
      </c>
      <c r="H112" s="22" t="s">
        <v>54</v>
      </c>
      <c r="I112" s="22" t="s">
        <v>234</v>
      </c>
      <c r="J112" s="22">
        <v>15.2</v>
      </c>
      <c r="K112" s="22">
        <v>0.01</v>
      </c>
      <c r="L112" s="22">
        <f>K112/J112</f>
        <v>0.0006578947368421054</v>
      </c>
      <c r="M112" s="22" t="s">
        <v>20</v>
      </c>
      <c r="N112" s="22">
        <v>0.0115</v>
      </c>
      <c r="O112" s="19" t="s">
        <v>21</v>
      </c>
      <c r="P112" s="19">
        <v>31</v>
      </c>
      <c r="Q112" s="19">
        <v>-3.62703236753663</v>
      </c>
      <c r="R112" s="19">
        <v>0.243974186824347</v>
      </c>
      <c r="S112" s="19">
        <v>0.772427145482824</v>
      </c>
      <c r="T112" s="19">
        <v>0.0205739205199566</v>
      </c>
      <c r="U112" s="19">
        <v>2.46858394384765</v>
      </c>
      <c r="W112" s="23" t="s">
        <v>357</v>
      </c>
    </row>
    <row r="113" spans="1:23" s="5" customFormat="1" ht="25.5">
      <c r="A113" s="20" t="s">
        <v>358</v>
      </c>
      <c r="B113" s="35" t="s">
        <v>849</v>
      </c>
      <c r="C113" s="21">
        <v>100</v>
      </c>
      <c r="D113" s="22">
        <v>6</v>
      </c>
      <c r="E113" s="22" t="s">
        <v>43</v>
      </c>
      <c r="F113" s="22" t="s">
        <v>17</v>
      </c>
      <c r="G113" s="22">
        <v>1143</v>
      </c>
      <c r="H113" s="22" t="s">
        <v>54</v>
      </c>
      <c r="I113" s="22" t="s">
        <v>359</v>
      </c>
      <c r="J113" s="22">
        <v>109.2</v>
      </c>
      <c r="K113" s="22">
        <v>0.06</v>
      </c>
      <c r="L113" s="22">
        <f>K113/J113</f>
        <v>0.0005494505494505495</v>
      </c>
      <c r="M113" s="22" t="s">
        <v>20</v>
      </c>
      <c r="N113" s="22">
        <v>0.0115</v>
      </c>
      <c r="O113" s="19" t="s">
        <v>21</v>
      </c>
      <c r="P113" s="19">
        <v>7</v>
      </c>
      <c r="Q113" s="19">
        <v>-2.47465434093357</v>
      </c>
      <c r="R113" s="19">
        <v>0.0785098541496343</v>
      </c>
      <c r="S113" s="19">
        <v>0.291017558918438</v>
      </c>
      <c r="T113" s="19">
        <v>0.0169382439197693</v>
      </c>
      <c r="U113" s="19">
        <v>3.07259568722826</v>
      </c>
      <c r="W113" s="23" t="s">
        <v>360</v>
      </c>
    </row>
    <row r="114" spans="1:23" s="5" customFormat="1" ht="63.75">
      <c r="A114" s="20" t="s">
        <v>361</v>
      </c>
      <c r="B114" s="35" t="s">
        <v>850</v>
      </c>
      <c r="C114" s="21">
        <f>10/11*100</f>
        <v>90.9090909090909</v>
      </c>
      <c r="D114" s="22">
        <v>4</v>
      </c>
      <c r="E114" s="22" t="s">
        <v>362</v>
      </c>
      <c r="F114" s="22" t="s">
        <v>17</v>
      </c>
      <c r="G114" s="22">
        <v>2288</v>
      </c>
      <c r="H114" s="22" t="s">
        <v>18</v>
      </c>
      <c r="I114" s="22" t="s">
        <v>162</v>
      </c>
      <c r="J114" s="22">
        <v>2.5</v>
      </c>
      <c r="K114" s="22">
        <f>10/G114</f>
        <v>0.004370629370629371</v>
      </c>
      <c r="L114" s="22">
        <f>K114/J114</f>
        <v>0.0017482517482517485</v>
      </c>
      <c r="M114" s="22" t="s">
        <v>20</v>
      </c>
      <c r="N114" s="22">
        <v>0.0115</v>
      </c>
      <c r="O114" s="19" t="s">
        <v>21</v>
      </c>
      <c r="P114" s="19">
        <v>10</v>
      </c>
      <c r="Q114" s="19">
        <v>-2.15693025139727</v>
      </c>
      <c r="R114" s="19">
        <v>0.373367083507876</v>
      </c>
      <c r="S114" s="19">
        <v>0.0906001978559323</v>
      </c>
      <c r="T114" s="19">
        <v>0.00102604948144176</v>
      </c>
      <c r="U114" s="19">
        <v>12.2332508494565</v>
      </c>
      <c r="W114" s="23" t="s">
        <v>363</v>
      </c>
    </row>
    <row r="115" spans="1:23" s="23" customFormat="1" ht="51">
      <c r="A115" s="20" t="s">
        <v>364</v>
      </c>
      <c r="B115" s="35" t="s">
        <v>851</v>
      </c>
      <c r="C115" s="21">
        <v>100</v>
      </c>
      <c r="D115" s="22">
        <v>2</v>
      </c>
      <c r="E115" s="22" t="s">
        <v>43</v>
      </c>
      <c r="F115" s="22" t="s">
        <v>17</v>
      </c>
      <c r="G115" s="22">
        <v>1140</v>
      </c>
      <c r="H115" s="22" t="s">
        <v>18</v>
      </c>
      <c r="I115" s="22" t="s">
        <v>19</v>
      </c>
      <c r="J115" s="22">
        <v>10.6</v>
      </c>
      <c r="K115" s="22">
        <f>50/G115</f>
        <v>0.043859649122807015</v>
      </c>
      <c r="L115" s="22">
        <f>K115/J115</f>
        <v>0.004137702747434624</v>
      </c>
      <c r="M115" s="22" t="s">
        <v>20</v>
      </c>
      <c r="N115" s="22">
        <v>0.0115</v>
      </c>
      <c r="O115" s="19" t="s">
        <v>21</v>
      </c>
      <c r="P115" s="19">
        <v>7</v>
      </c>
      <c r="Q115" s="19">
        <v>-0.868858433058151</v>
      </c>
      <c r="R115" s="19">
        <v>0.387159455415314</v>
      </c>
      <c r="S115" s="19">
        <v>0.179426715968387</v>
      </c>
      <c r="T115" s="19">
        <v>0.00643878928064005</v>
      </c>
      <c r="U115" s="19">
        <v>6.55061349945652</v>
      </c>
      <c r="W115" s="23" t="s">
        <v>365</v>
      </c>
    </row>
    <row r="116" spans="1:23" s="5" customFormat="1" ht="51">
      <c r="A116" s="1" t="s">
        <v>366</v>
      </c>
      <c r="B116" s="35" t="s">
        <v>852</v>
      </c>
      <c r="C116" s="21">
        <f>12/20*100</f>
        <v>60</v>
      </c>
      <c r="D116" s="22">
        <v>3</v>
      </c>
      <c r="E116" s="22" t="s">
        <v>367</v>
      </c>
      <c r="F116" s="22" t="s">
        <v>17</v>
      </c>
      <c r="G116" s="22">
        <v>2029</v>
      </c>
      <c r="H116" s="22" t="s">
        <v>18</v>
      </c>
      <c r="I116" s="22" t="s">
        <v>116</v>
      </c>
      <c r="J116" s="22">
        <v>7.7</v>
      </c>
      <c r="K116" s="22">
        <v>0.01</v>
      </c>
      <c r="L116" s="22">
        <f>K116/J116</f>
        <v>0.0012987012987012987</v>
      </c>
      <c r="M116" s="22" t="s">
        <v>20</v>
      </c>
      <c r="N116" s="22">
        <v>0.0115</v>
      </c>
      <c r="O116" s="19" t="s">
        <v>21</v>
      </c>
      <c r="P116" s="19">
        <v>7</v>
      </c>
      <c r="Q116" s="19">
        <v>-0.0507305001298903</v>
      </c>
      <c r="R116" s="19">
        <v>0.540282485623505</v>
      </c>
      <c r="S116" s="19">
        <v>0.205834542925394</v>
      </c>
      <c r="T116" s="19">
        <v>0.0084735718122612</v>
      </c>
      <c r="U116" s="19">
        <v>6.24893983885869</v>
      </c>
      <c r="W116" s="23" t="s">
        <v>368</v>
      </c>
    </row>
    <row r="117" spans="1:23" s="23" customFormat="1" ht="63.75">
      <c r="A117" s="20" t="s">
        <v>369</v>
      </c>
      <c r="B117" s="35" t="s">
        <v>853</v>
      </c>
      <c r="C117" s="21">
        <v>100</v>
      </c>
      <c r="D117" s="22">
        <v>7</v>
      </c>
      <c r="E117" s="22" t="s">
        <v>362</v>
      </c>
      <c r="F117" s="22" t="s">
        <v>17</v>
      </c>
      <c r="G117" s="22">
        <v>1633</v>
      </c>
      <c r="H117" s="22" t="s">
        <v>18</v>
      </c>
      <c r="I117" s="22" t="s">
        <v>305</v>
      </c>
      <c r="J117" s="22">
        <v>123.7</v>
      </c>
      <c r="K117" s="22">
        <v>0.64</v>
      </c>
      <c r="L117" s="22">
        <f>K117/J117</f>
        <v>0.0051738075990299115</v>
      </c>
      <c r="M117" s="22" t="s">
        <v>30</v>
      </c>
      <c r="N117" s="22">
        <v>1</v>
      </c>
      <c r="O117" s="19" t="s">
        <v>21</v>
      </c>
      <c r="P117" s="19">
        <v>14</v>
      </c>
      <c r="Q117" s="19">
        <v>-1.63379747184808</v>
      </c>
      <c r="R117" s="19">
        <v>0.376424262008541</v>
      </c>
      <c r="S117" s="19">
        <v>2.56058160769314</v>
      </c>
      <c r="T117" s="19">
        <v>0.546381514138034</v>
      </c>
      <c r="U117" s="19">
        <v>0.63843173905</v>
      </c>
      <c r="W117" s="23" t="s">
        <v>370</v>
      </c>
    </row>
    <row r="118" spans="1:23" s="23" customFormat="1" ht="38.25">
      <c r="A118" s="20" t="s">
        <v>371</v>
      </c>
      <c r="B118" s="35" t="s">
        <v>854</v>
      </c>
      <c r="C118" s="21">
        <f>19/30*100</f>
        <v>63.33333333333333</v>
      </c>
      <c r="D118" s="22">
        <v>6</v>
      </c>
      <c r="E118" s="22" t="s">
        <v>372</v>
      </c>
      <c r="F118" s="22" t="s">
        <v>24</v>
      </c>
      <c r="G118" s="22">
        <f>624+932</f>
        <v>1556</v>
      </c>
      <c r="H118" s="22" t="s">
        <v>18</v>
      </c>
      <c r="I118" s="22" t="s">
        <v>87</v>
      </c>
      <c r="J118" s="22">
        <v>6.3</v>
      </c>
      <c r="K118" s="22">
        <f>15/G118</f>
        <v>0.009640102827763496</v>
      </c>
      <c r="L118" s="22">
        <f>K118/J118</f>
        <v>0.0015301750520259518</v>
      </c>
      <c r="M118" s="22" t="s">
        <v>20</v>
      </c>
      <c r="N118" s="22"/>
      <c r="O118" s="19" t="s">
        <v>55</v>
      </c>
      <c r="P118" s="19">
        <v>22</v>
      </c>
      <c r="Q118" s="19">
        <v>-0.935946833216645</v>
      </c>
      <c r="R118" s="19">
        <v>0.365799118588812</v>
      </c>
      <c r="S118" s="19" t="s">
        <v>720</v>
      </c>
      <c r="T118" s="19" t="s">
        <v>720</v>
      </c>
      <c r="U118" s="19" t="s">
        <v>720</v>
      </c>
      <c r="W118" s="23" t="s">
        <v>373</v>
      </c>
    </row>
    <row r="119" spans="1:23" s="23" customFormat="1" ht="38.25">
      <c r="A119" s="20" t="s">
        <v>374</v>
      </c>
      <c r="B119" s="35" t="s">
        <v>855</v>
      </c>
      <c r="C119" s="21">
        <f>29/31*100</f>
        <v>93.54838709677419</v>
      </c>
      <c r="D119" s="22">
        <v>2</v>
      </c>
      <c r="E119" s="22" t="s">
        <v>375</v>
      </c>
      <c r="F119" s="22" t="s">
        <v>24</v>
      </c>
      <c r="G119" s="22">
        <v>3160</v>
      </c>
      <c r="H119" s="22" t="s">
        <v>18</v>
      </c>
      <c r="I119" s="22" t="s">
        <v>19</v>
      </c>
      <c r="J119" s="22">
        <v>6.9</v>
      </c>
      <c r="K119" s="22">
        <v>0.005</v>
      </c>
      <c r="L119" s="22">
        <f>K119/J119</f>
        <v>0.0007246376811594203</v>
      </c>
      <c r="M119" s="22" t="s">
        <v>20</v>
      </c>
      <c r="N119" s="22"/>
      <c r="O119" s="19" t="s">
        <v>21</v>
      </c>
      <c r="P119" s="19">
        <v>27</v>
      </c>
      <c r="Q119" s="19">
        <v>-1.61737254991182</v>
      </c>
      <c r="R119" s="19">
        <v>0.558202680334295</v>
      </c>
      <c r="S119" s="19" t="s">
        <v>720</v>
      </c>
      <c r="T119" s="19" t="s">
        <v>720</v>
      </c>
      <c r="U119" s="19" t="s">
        <v>720</v>
      </c>
      <c r="W119" s="23" t="s">
        <v>376</v>
      </c>
    </row>
    <row r="120" spans="1:23" s="23" customFormat="1" ht="51">
      <c r="A120" s="20" t="s">
        <v>377</v>
      </c>
      <c r="B120" s="35" t="s">
        <v>856</v>
      </c>
      <c r="C120" s="21">
        <v>100</v>
      </c>
      <c r="D120" s="22">
        <v>4</v>
      </c>
      <c r="E120" s="22" t="s">
        <v>43</v>
      </c>
      <c r="F120" s="22" t="s">
        <v>17</v>
      </c>
      <c r="G120" s="22">
        <v>1140</v>
      </c>
      <c r="H120" s="22" t="s">
        <v>18</v>
      </c>
      <c r="I120" s="22" t="s">
        <v>19</v>
      </c>
      <c r="J120" s="22">
        <v>81</v>
      </c>
      <c r="K120" s="22">
        <v>10</v>
      </c>
      <c r="L120" s="22">
        <f>K120/J120</f>
        <v>0.12345679012345678</v>
      </c>
      <c r="M120" s="22" t="s">
        <v>30</v>
      </c>
      <c r="N120" s="22">
        <v>1</v>
      </c>
      <c r="O120" s="19" t="s">
        <v>21</v>
      </c>
      <c r="P120" s="19">
        <v>10</v>
      </c>
      <c r="Q120" s="19">
        <v>0.0138874958419142</v>
      </c>
      <c r="R120" s="19">
        <v>0.805574975824589</v>
      </c>
      <c r="S120" s="19">
        <v>0.1749460044946</v>
      </c>
      <c r="T120" s="19">
        <v>0.00382576306107809</v>
      </c>
      <c r="U120" s="19">
        <v>8.8086419665</v>
      </c>
      <c r="W120" s="23" t="s">
        <v>378</v>
      </c>
    </row>
    <row r="121" spans="1:23" s="23" customFormat="1" ht="38.25">
      <c r="A121" s="1" t="s">
        <v>379</v>
      </c>
      <c r="B121" s="35" t="s">
        <v>857</v>
      </c>
      <c r="C121" s="21">
        <v>100</v>
      </c>
      <c r="D121" s="22">
        <v>3</v>
      </c>
      <c r="E121" s="22" t="s">
        <v>380</v>
      </c>
      <c r="F121" s="22" t="s">
        <v>17</v>
      </c>
      <c r="G121" s="22">
        <f>450+370</f>
        <v>820</v>
      </c>
      <c r="H121" s="22" t="s">
        <v>18</v>
      </c>
      <c r="I121" s="22" t="s">
        <v>965</v>
      </c>
      <c r="J121" s="22">
        <v>1</v>
      </c>
      <c r="K121" s="22">
        <v>1</v>
      </c>
      <c r="L121" s="22">
        <f>K121/J121</f>
        <v>1</v>
      </c>
      <c r="M121" s="22" t="s">
        <v>20</v>
      </c>
      <c r="N121" s="22">
        <v>0.0115</v>
      </c>
      <c r="O121" s="19" t="s">
        <v>21</v>
      </c>
      <c r="P121" s="19">
        <v>16</v>
      </c>
      <c r="Q121" s="19">
        <v>-0.728537622752757</v>
      </c>
      <c r="R121" s="19">
        <v>0.630033228495473</v>
      </c>
      <c r="S121" s="19">
        <v>0.0787996512748352</v>
      </c>
      <c r="T121" s="19">
        <v>0.000443527502931116</v>
      </c>
      <c r="U121" s="19">
        <v>24.0855978260869</v>
      </c>
      <c r="W121" s="23" t="s">
        <v>381</v>
      </c>
    </row>
    <row r="122" spans="1:23" s="23" customFormat="1" ht="38.25">
      <c r="A122" s="1" t="s">
        <v>382</v>
      </c>
      <c r="B122" s="35" t="s">
        <v>858</v>
      </c>
      <c r="C122" s="21">
        <f>14/15*100</f>
        <v>93.33333333333333</v>
      </c>
      <c r="D122" s="22">
        <v>2</v>
      </c>
      <c r="E122" s="22" t="s">
        <v>323</v>
      </c>
      <c r="F122" s="22" t="s">
        <v>17</v>
      </c>
      <c r="G122" s="22">
        <v>864</v>
      </c>
      <c r="H122" s="22" t="s">
        <v>18</v>
      </c>
      <c r="I122" s="22" t="s">
        <v>19</v>
      </c>
      <c r="J122" s="22">
        <v>9.3</v>
      </c>
      <c r="K122" s="22">
        <v>0.05</v>
      </c>
      <c r="L122" s="22">
        <f>K122/J122</f>
        <v>0.005376344086021505</v>
      </c>
      <c r="M122" s="22" t="s">
        <v>20</v>
      </c>
      <c r="N122" s="22">
        <v>0.0115</v>
      </c>
      <c r="O122" s="19" t="s">
        <v>21</v>
      </c>
      <c r="P122" s="19">
        <v>14</v>
      </c>
      <c r="Q122" s="19">
        <v>-2.8857831655679</v>
      </c>
      <c r="R122" s="19">
        <v>0.133350495529232</v>
      </c>
      <c r="S122" s="19">
        <v>0.075077500829909</v>
      </c>
      <c r="T122" s="19">
        <v>0.000469719260905416</v>
      </c>
      <c r="U122" s="19">
        <v>18.9685962953804</v>
      </c>
      <c r="W122" s="23" t="s">
        <v>383</v>
      </c>
    </row>
    <row r="123" spans="1:23" s="23" customFormat="1" ht="51">
      <c r="A123" s="20" t="s">
        <v>384</v>
      </c>
      <c r="B123" s="35" t="s">
        <v>859</v>
      </c>
      <c r="C123" s="21">
        <f>17/20*100</f>
        <v>85</v>
      </c>
      <c r="D123" s="22">
        <v>3</v>
      </c>
      <c r="E123" s="22" t="s">
        <v>385</v>
      </c>
      <c r="F123" s="22" t="s">
        <v>17</v>
      </c>
      <c r="G123" s="22">
        <v>658</v>
      </c>
      <c r="H123" s="22" t="s">
        <v>18</v>
      </c>
      <c r="I123" s="22" t="s">
        <v>359</v>
      </c>
      <c r="J123" s="22">
        <v>3</v>
      </c>
      <c r="K123" s="22">
        <f>10/G123</f>
        <v>0.015197568389057751</v>
      </c>
      <c r="L123" s="22">
        <f>K123/J123</f>
        <v>0.005065856129685917</v>
      </c>
      <c r="M123" s="22" t="s">
        <v>20</v>
      </c>
      <c r="N123" s="22">
        <v>0.0115</v>
      </c>
      <c r="O123" s="19" t="s">
        <v>40</v>
      </c>
      <c r="P123" s="19">
        <v>20</v>
      </c>
      <c r="Q123" s="19">
        <v>-0.971191951870175</v>
      </c>
      <c r="R123" s="19">
        <v>0.654847067026627</v>
      </c>
      <c r="S123" s="19">
        <v>0.275768628245675</v>
      </c>
      <c r="T123" s="19">
        <v>0.00422490757358341</v>
      </c>
      <c r="U123" s="19">
        <v>6.70141854347826</v>
      </c>
      <c r="W123" s="23" t="s">
        <v>386</v>
      </c>
    </row>
    <row r="124" spans="1:23" s="23" customFormat="1" ht="38.25">
      <c r="A124" s="1" t="s">
        <v>387</v>
      </c>
      <c r="B124" s="35" t="s">
        <v>860</v>
      </c>
      <c r="C124" s="21">
        <f>28/46*100</f>
        <v>60.86956521739131</v>
      </c>
      <c r="D124" s="22">
        <v>3</v>
      </c>
      <c r="E124" s="22" t="s">
        <v>388</v>
      </c>
      <c r="F124" s="22" t="s">
        <v>17</v>
      </c>
      <c r="G124" s="22">
        <v>1845</v>
      </c>
      <c r="H124" s="22" t="s">
        <v>18</v>
      </c>
      <c r="I124" s="22" t="s">
        <v>19</v>
      </c>
      <c r="J124" s="22">
        <v>10.8</v>
      </c>
      <c r="K124" s="22">
        <f>50/G124</f>
        <v>0.02710027100271003</v>
      </c>
      <c r="L124" s="22">
        <f>K124/J124</f>
        <v>0.00250928435210278</v>
      </c>
      <c r="M124" s="22" t="s">
        <v>20</v>
      </c>
      <c r="N124" s="22">
        <v>0.0115</v>
      </c>
      <c r="O124" s="19" t="s">
        <v>55</v>
      </c>
      <c r="P124" s="19">
        <v>28</v>
      </c>
      <c r="Q124" s="19">
        <v>-4.29449915726409</v>
      </c>
      <c r="R124" s="19">
        <v>0.150268370774531</v>
      </c>
      <c r="S124" s="19">
        <v>0.208104694998322</v>
      </c>
      <c r="T124" s="19">
        <v>0.00166567554155171</v>
      </c>
      <c r="U124" s="19">
        <v>8.50007169925271</v>
      </c>
      <c r="W124" s="23" t="s">
        <v>389</v>
      </c>
    </row>
    <row r="125" spans="1:23" s="23" customFormat="1" ht="38.25">
      <c r="A125" s="20" t="s">
        <v>390</v>
      </c>
      <c r="B125" s="35" t="s">
        <v>861</v>
      </c>
      <c r="C125" s="21">
        <v>100</v>
      </c>
      <c r="D125" s="22">
        <v>1</v>
      </c>
      <c r="E125" s="22" t="s">
        <v>43</v>
      </c>
      <c r="F125" s="22" t="s">
        <v>17</v>
      </c>
      <c r="G125" s="22">
        <v>1140</v>
      </c>
      <c r="H125" s="22" t="s">
        <v>18</v>
      </c>
      <c r="I125" s="22" t="s">
        <v>116</v>
      </c>
      <c r="J125" s="22">
        <v>2.8</v>
      </c>
      <c r="K125" s="22">
        <v>0.01</v>
      </c>
      <c r="L125" s="22">
        <f>K125/J125</f>
        <v>0.0035714285714285718</v>
      </c>
      <c r="M125" s="22" t="s">
        <v>20</v>
      </c>
      <c r="N125" s="22">
        <v>0.0115</v>
      </c>
      <c r="O125" s="19" t="s">
        <v>21</v>
      </c>
      <c r="P125" s="19">
        <v>8</v>
      </c>
      <c r="Q125" s="19">
        <v>-0.148036448186844</v>
      </c>
      <c r="R125" s="19">
        <v>0.801969565027494</v>
      </c>
      <c r="S125" s="19">
        <v>0.143303492144826</v>
      </c>
      <c r="T125" s="19">
        <v>0.00342264847681704</v>
      </c>
      <c r="U125" s="19">
        <v>9.49340176032608</v>
      </c>
      <c r="W125" s="23" t="s">
        <v>391</v>
      </c>
    </row>
    <row r="126" spans="1:23" s="23" customFormat="1" ht="51">
      <c r="A126" s="20" t="s">
        <v>392</v>
      </c>
      <c r="B126" s="35" t="s">
        <v>748</v>
      </c>
      <c r="C126" s="21">
        <v>100</v>
      </c>
      <c r="D126" s="22">
        <v>3</v>
      </c>
      <c r="E126" s="22" t="s">
        <v>250</v>
      </c>
      <c r="F126" s="22" t="s">
        <v>17</v>
      </c>
      <c r="G126" s="22">
        <v>349</v>
      </c>
      <c r="H126" s="22" t="s">
        <v>54</v>
      </c>
      <c r="I126" s="22" t="s">
        <v>468</v>
      </c>
      <c r="J126" s="22" t="s">
        <v>34</v>
      </c>
      <c r="K126" s="22"/>
      <c r="L126" s="22"/>
      <c r="M126" s="22"/>
      <c r="N126" s="22"/>
      <c r="O126" s="19" t="s">
        <v>21</v>
      </c>
      <c r="P126" s="19">
        <v>13</v>
      </c>
      <c r="Q126" s="19">
        <v>-3.27898193379466</v>
      </c>
      <c r="R126" s="19">
        <v>0.0856788179121357</v>
      </c>
      <c r="S126" s="19" t="s">
        <v>720</v>
      </c>
      <c r="T126" s="19" t="s">
        <v>720</v>
      </c>
      <c r="U126" s="19" t="s">
        <v>720</v>
      </c>
      <c r="W126" s="23" t="s">
        <v>393</v>
      </c>
    </row>
    <row r="127" spans="1:23" s="23" customFormat="1" ht="51">
      <c r="A127" s="20" t="s">
        <v>394</v>
      </c>
      <c r="B127" s="35" t="s">
        <v>747</v>
      </c>
      <c r="C127" s="21">
        <v>100</v>
      </c>
      <c r="D127" s="22">
        <v>2</v>
      </c>
      <c r="E127" s="22" t="s">
        <v>43</v>
      </c>
      <c r="F127" s="22" t="s">
        <v>17</v>
      </c>
      <c r="G127" s="22">
        <v>1140</v>
      </c>
      <c r="H127" s="22" t="s">
        <v>54</v>
      </c>
      <c r="I127" s="22" t="s">
        <v>234</v>
      </c>
      <c r="J127" s="22">
        <v>14</v>
      </c>
      <c r="K127" s="22">
        <f>17/1140</f>
        <v>0.014912280701754385</v>
      </c>
      <c r="L127" s="22">
        <f>K127/J127</f>
        <v>0.0010651629072681705</v>
      </c>
      <c r="M127" s="22" t="s">
        <v>20</v>
      </c>
      <c r="N127" s="22">
        <v>0.0115</v>
      </c>
      <c r="O127" s="19" t="s">
        <v>21</v>
      </c>
      <c r="P127" s="19">
        <v>5</v>
      </c>
      <c r="Q127" s="19">
        <v>0.0074626865671648</v>
      </c>
      <c r="R127" s="19">
        <v>0.579858941512456</v>
      </c>
      <c r="S127" s="19">
        <v>0.284367067119596</v>
      </c>
      <c r="T127" s="19">
        <v>0.0269548762874003</v>
      </c>
      <c r="U127" s="19">
        <v>3.42357281630434</v>
      </c>
      <c r="W127" s="23" t="s">
        <v>395</v>
      </c>
    </row>
    <row r="128" spans="1:23" s="23" customFormat="1" ht="63.75">
      <c r="A128" s="20" t="s">
        <v>396</v>
      </c>
      <c r="B128" s="35" t="s">
        <v>741</v>
      </c>
      <c r="C128" s="21">
        <v>100</v>
      </c>
      <c r="D128" s="22">
        <v>2</v>
      </c>
      <c r="E128" s="22" t="s">
        <v>281</v>
      </c>
      <c r="F128" s="22" t="s">
        <v>17</v>
      </c>
      <c r="G128" s="22">
        <f>412+534</f>
        <v>946</v>
      </c>
      <c r="H128" s="22" t="s">
        <v>54</v>
      </c>
      <c r="I128" s="22"/>
      <c r="J128" s="22">
        <v>21</v>
      </c>
      <c r="K128" s="22">
        <v>0.01</v>
      </c>
      <c r="L128" s="22">
        <f>K128/J128</f>
        <v>0.0004761904761904762</v>
      </c>
      <c r="M128" s="22" t="s">
        <v>20</v>
      </c>
      <c r="N128" s="22">
        <v>0.0115</v>
      </c>
      <c r="O128" s="19" t="s">
        <v>21</v>
      </c>
      <c r="P128" s="19">
        <v>8</v>
      </c>
      <c r="Q128" s="19">
        <v>0.443808981330815</v>
      </c>
      <c r="R128" s="19">
        <v>1.43504050110107</v>
      </c>
      <c r="S128" s="19">
        <v>0.270892026360338</v>
      </c>
      <c r="T128" s="19">
        <v>0.012230414990935</v>
      </c>
      <c r="U128" s="19">
        <v>5.63948711413043</v>
      </c>
      <c r="W128" s="23" t="s">
        <v>397</v>
      </c>
    </row>
    <row r="129" spans="1:23" s="23" customFormat="1" ht="38.25">
      <c r="A129" s="20" t="s">
        <v>398</v>
      </c>
      <c r="B129" s="35" t="s">
        <v>746</v>
      </c>
      <c r="C129" s="21">
        <f>10/11*100</f>
        <v>90.9090909090909</v>
      </c>
      <c r="D129" s="22">
        <v>5</v>
      </c>
      <c r="E129" s="22" t="s">
        <v>193</v>
      </c>
      <c r="F129" s="22" t="s">
        <v>17</v>
      </c>
      <c r="G129" s="22">
        <f>454+268</f>
        <v>722</v>
      </c>
      <c r="H129" s="22" t="s">
        <v>18</v>
      </c>
      <c r="I129" s="22" t="s">
        <v>19</v>
      </c>
      <c r="J129" s="22" t="s">
        <v>34</v>
      </c>
      <c r="K129" s="22"/>
      <c r="L129" s="22"/>
      <c r="M129" s="22"/>
      <c r="N129" s="22"/>
      <c r="O129" s="19" t="s">
        <v>21</v>
      </c>
      <c r="P129" s="19">
        <v>12</v>
      </c>
      <c r="Q129" s="19">
        <v>-0.704122161694599</v>
      </c>
      <c r="R129" s="19">
        <v>1.00054577327532</v>
      </c>
      <c r="S129" s="19" t="s">
        <v>720</v>
      </c>
      <c r="T129" s="19" t="s">
        <v>720</v>
      </c>
      <c r="U129" s="19" t="s">
        <v>720</v>
      </c>
      <c r="W129" s="23" t="s">
        <v>399</v>
      </c>
    </row>
    <row r="130" spans="1:23" s="23" customFormat="1" ht="38.25">
      <c r="A130" s="20" t="s">
        <v>400</v>
      </c>
      <c r="B130" s="35" t="s">
        <v>745</v>
      </c>
      <c r="C130" s="21">
        <v>100</v>
      </c>
      <c r="D130" s="22">
        <v>4</v>
      </c>
      <c r="E130" s="22" t="s">
        <v>209</v>
      </c>
      <c r="F130" s="22" t="s">
        <v>17</v>
      </c>
      <c r="G130" s="22">
        <v>529</v>
      </c>
      <c r="H130" s="22" t="s">
        <v>18</v>
      </c>
      <c r="I130" s="22" t="s">
        <v>276</v>
      </c>
      <c r="J130" s="22" t="s">
        <v>34</v>
      </c>
      <c r="K130" s="22"/>
      <c r="L130" s="22"/>
      <c r="M130" s="22"/>
      <c r="N130" s="22"/>
      <c r="O130" s="19" t="s">
        <v>55</v>
      </c>
      <c r="P130" s="19">
        <v>6</v>
      </c>
      <c r="Q130" s="19">
        <v>0.630139636020463</v>
      </c>
      <c r="R130" s="19">
        <v>1.11292381795066</v>
      </c>
      <c r="S130" s="19" t="s">
        <v>720</v>
      </c>
      <c r="T130" s="19" t="s">
        <v>720</v>
      </c>
      <c r="U130" s="19" t="s">
        <v>720</v>
      </c>
      <c r="W130" s="23" t="s">
        <v>401</v>
      </c>
    </row>
    <row r="131" spans="1:23" s="23" customFormat="1" ht="51">
      <c r="A131" s="1" t="s">
        <v>402</v>
      </c>
      <c r="B131" s="35" t="s">
        <v>742</v>
      </c>
      <c r="C131" s="21">
        <v>100</v>
      </c>
      <c r="D131" s="22">
        <v>3</v>
      </c>
      <c r="E131" s="22" t="s">
        <v>281</v>
      </c>
      <c r="F131" s="22" t="s">
        <v>17</v>
      </c>
      <c r="G131" s="22">
        <f>1006+1140</f>
        <v>2146</v>
      </c>
      <c r="H131" s="22" t="s">
        <v>18</v>
      </c>
      <c r="I131" s="22"/>
      <c r="J131" s="22">
        <v>19</v>
      </c>
      <c r="K131" s="22">
        <v>0.1</v>
      </c>
      <c r="L131" s="22">
        <f>K131/J131</f>
        <v>0.005263157894736842</v>
      </c>
      <c r="M131" s="22" t="s">
        <v>20</v>
      </c>
      <c r="N131" s="22">
        <v>0.0115</v>
      </c>
      <c r="O131" s="19" t="s">
        <v>21</v>
      </c>
      <c r="P131" s="19">
        <v>5</v>
      </c>
      <c r="Q131" s="19">
        <v>-1.4046875</v>
      </c>
      <c r="R131" s="19">
        <v>0.110838027420554</v>
      </c>
      <c r="S131" s="19">
        <v>0.102421872951562</v>
      </c>
      <c r="T131" s="19">
        <v>0.003496746686302</v>
      </c>
      <c r="U131" s="19">
        <v>7.51716262173913</v>
      </c>
      <c r="W131" s="23" t="s">
        <v>403</v>
      </c>
    </row>
    <row r="132" spans="1:23" s="23" customFormat="1" ht="63.75">
      <c r="A132" s="20" t="s">
        <v>404</v>
      </c>
      <c r="B132" s="35" t="s">
        <v>744</v>
      </c>
      <c r="C132" s="21">
        <v>100</v>
      </c>
      <c r="D132" s="22">
        <v>2</v>
      </c>
      <c r="E132" s="22" t="s">
        <v>405</v>
      </c>
      <c r="F132" s="22" t="s">
        <v>17</v>
      </c>
      <c r="G132" s="22">
        <v>404</v>
      </c>
      <c r="H132" s="22" t="s">
        <v>54</v>
      </c>
      <c r="I132" s="22" t="s">
        <v>234</v>
      </c>
      <c r="J132" s="22">
        <v>1.075</v>
      </c>
      <c r="K132" s="22">
        <v>0.02</v>
      </c>
      <c r="L132" s="22">
        <f>K132/J132</f>
        <v>0.018604651162790697</v>
      </c>
      <c r="M132" s="22" t="s">
        <v>20</v>
      </c>
      <c r="N132" s="22">
        <v>0.0115</v>
      </c>
      <c r="O132" s="19" t="s">
        <v>21</v>
      </c>
      <c r="P132" s="19">
        <v>10</v>
      </c>
      <c r="Q132" s="19">
        <v>-2.51179554222449</v>
      </c>
      <c r="R132" s="19">
        <v>0.12291906718603</v>
      </c>
      <c r="S132" s="19">
        <v>0.294873995379735</v>
      </c>
      <c r="T132" s="19">
        <v>0.010868834143901</v>
      </c>
      <c r="U132" s="19">
        <v>3.92295244292391</v>
      </c>
      <c r="W132" s="23" t="s">
        <v>406</v>
      </c>
    </row>
    <row r="133" spans="1:23" s="23" customFormat="1" ht="38.25">
      <c r="A133" s="20" t="s">
        <v>407</v>
      </c>
      <c r="B133" s="35" t="s">
        <v>743</v>
      </c>
      <c r="C133" s="21">
        <f>15/17*100</f>
        <v>88.23529411764706</v>
      </c>
      <c r="D133" s="22">
        <v>3</v>
      </c>
      <c r="E133" s="22" t="s">
        <v>408</v>
      </c>
      <c r="F133" s="22" t="s">
        <v>24</v>
      </c>
      <c r="G133" s="22">
        <v>2840</v>
      </c>
      <c r="H133" s="22" t="s">
        <v>18</v>
      </c>
      <c r="I133" s="22" t="s">
        <v>19</v>
      </c>
      <c r="J133" s="22">
        <v>0.997</v>
      </c>
      <c r="K133" s="22">
        <v>0.05</v>
      </c>
      <c r="L133" s="22">
        <f>K133/J133</f>
        <v>0.05015045135406219</v>
      </c>
      <c r="M133" s="22" t="s">
        <v>20</v>
      </c>
      <c r="N133" s="22"/>
      <c r="O133" s="19" t="s">
        <v>21</v>
      </c>
      <c r="P133" s="19">
        <v>14</v>
      </c>
      <c r="Q133" s="19">
        <v>1.29537814031064</v>
      </c>
      <c r="R133" s="19">
        <v>1.72541603839427</v>
      </c>
      <c r="S133" s="19" t="s">
        <v>720</v>
      </c>
      <c r="T133" s="19" t="s">
        <v>720</v>
      </c>
      <c r="U133" s="19" t="s">
        <v>720</v>
      </c>
      <c r="W133" s="23" t="s">
        <v>409</v>
      </c>
    </row>
    <row r="134" spans="1:23" s="23" customFormat="1" ht="51">
      <c r="A134" s="20" t="s">
        <v>410</v>
      </c>
      <c r="B134" s="35" t="s">
        <v>863</v>
      </c>
      <c r="C134" s="21">
        <v>100</v>
      </c>
      <c r="D134" s="22">
        <v>5</v>
      </c>
      <c r="E134" s="22" t="s">
        <v>90</v>
      </c>
      <c r="F134" s="22" t="s">
        <v>17</v>
      </c>
      <c r="G134" s="22"/>
      <c r="H134" s="22" t="s">
        <v>18</v>
      </c>
      <c r="I134" s="22" t="s">
        <v>19</v>
      </c>
      <c r="J134" s="22">
        <v>0.313</v>
      </c>
      <c r="K134" s="22">
        <v>0.01</v>
      </c>
      <c r="L134" s="22">
        <f>K134/J134</f>
        <v>0.03194888178913738</v>
      </c>
      <c r="M134" s="22" t="s">
        <v>20</v>
      </c>
      <c r="N134" s="22">
        <v>0.0115</v>
      </c>
      <c r="O134" s="19" t="s">
        <v>55</v>
      </c>
      <c r="P134" s="19">
        <v>20</v>
      </c>
      <c r="Q134" s="19">
        <v>-3.97413063055241</v>
      </c>
      <c r="R134" s="19">
        <v>0.275742604204807</v>
      </c>
      <c r="S134" s="19">
        <v>0.404562363016402</v>
      </c>
      <c r="T134" s="19">
        <v>0.00909281697607864</v>
      </c>
      <c r="U134" s="19">
        <v>3.39447224848429</v>
      </c>
      <c r="W134" s="23" t="s">
        <v>411</v>
      </c>
    </row>
    <row r="135" spans="1:23" s="23" customFormat="1" ht="38.25">
      <c r="A135" s="20" t="s">
        <v>412</v>
      </c>
      <c r="B135" s="35" t="s">
        <v>862</v>
      </c>
      <c r="C135" s="21">
        <f>35/40*100</f>
        <v>87.5</v>
      </c>
      <c r="D135" s="22">
        <v>1</v>
      </c>
      <c r="E135" s="22" t="s">
        <v>43</v>
      </c>
      <c r="F135" s="22" t="s">
        <v>17</v>
      </c>
      <c r="G135" s="22">
        <v>1135</v>
      </c>
      <c r="H135" s="22" t="s">
        <v>18</v>
      </c>
      <c r="I135" s="22" t="s">
        <v>162</v>
      </c>
      <c r="J135" s="22" t="s">
        <v>34</v>
      </c>
      <c r="K135" s="22"/>
      <c r="L135" s="22"/>
      <c r="M135" s="22"/>
      <c r="N135" s="22"/>
      <c r="O135" s="19" t="s">
        <v>21</v>
      </c>
      <c r="P135" s="19">
        <v>39</v>
      </c>
      <c r="Q135" s="19">
        <v>-4.96668068148579</v>
      </c>
      <c r="R135" s="19">
        <v>0.206801948411703</v>
      </c>
      <c r="S135" s="19" t="s">
        <v>720</v>
      </c>
      <c r="T135" s="19" t="s">
        <v>720</v>
      </c>
      <c r="U135" s="19" t="s">
        <v>720</v>
      </c>
      <c r="W135" s="23" t="s">
        <v>413</v>
      </c>
    </row>
    <row r="136" spans="1:23" s="23" customFormat="1" ht="38.25">
      <c r="A136" s="20" t="s">
        <v>414</v>
      </c>
      <c r="B136" s="35" t="s">
        <v>864</v>
      </c>
      <c r="C136" s="21">
        <v>100</v>
      </c>
      <c r="D136" s="22">
        <v>4</v>
      </c>
      <c r="E136" s="22" t="s">
        <v>90</v>
      </c>
      <c r="F136" s="22" t="s">
        <v>17</v>
      </c>
      <c r="G136" s="22">
        <v>398</v>
      </c>
      <c r="H136" s="22" t="s">
        <v>18</v>
      </c>
      <c r="I136" s="22" t="s">
        <v>19</v>
      </c>
      <c r="J136" s="22">
        <v>1.025</v>
      </c>
      <c r="K136" s="22">
        <v>0.05</v>
      </c>
      <c r="L136" s="22">
        <f>K136/J136</f>
        <v>0.04878048780487806</v>
      </c>
      <c r="M136" s="22" t="s">
        <v>20</v>
      </c>
      <c r="N136" s="22">
        <v>0.0115</v>
      </c>
      <c r="O136" s="19" t="s">
        <v>55</v>
      </c>
      <c r="P136" s="19">
        <v>9</v>
      </c>
      <c r="Q136" s="19">
        <v>-2.08155899951141</v>
      </c>
      <c r="R136" s="19">
        <v>0.351561594061041</v>
      </c>
      <c r="S136" s="19">
        <v>0.143491908509963</v>
      </c>
      <c r="T136" s="19">
        <v>0.00294141825826166</v>
      </c>
      <c r="U136" s="19">
        <v>7.20595840634239</v>
      </c>
      <c r="W136" s="23" t="s">
        <v>415</v>
      </c>
    </row>
    <row r="137" spans="1:23" s="23" customFormat="1" ht="51">
      <c r="A137" s="20" t="s">
        <v>416</v>
      </c>
      <c r="B137" s="34" t="s">
        <v>865</v>
      </c>
      <c r="C137" s="21">
        <f>23/33*100</f>
        <v>69.6969696969697</v>
      </c>
      <c r="D137" s="22">
        <v>2</v>
      </c>
      <c r="E137" s="22" t="s">
        <v>417</v>
      </c>
      <c r="F137" s="22" t="s">
        <v>17</v>
      </c>
      <c r="G137" s="22">
        <f>1029+551</f>
        <v>1580</v>
      </c>
      <c r="H137" s="22" t="s">
        <v>18</v>
      </c>
      <c r="I137" s="22" t="s">
        <v>19</v>
      </c>
      <c r="J137" s="22">
        <v>1.915</v>
      </c>
      <c r="K137" s="22">
        <v>0.1</v>
      </c>
      <c r="L137" s="22">
        <f>K137/J137</f>
        <v>0.05221932114882507</v>
      </c>
      <c r="M137" s="22" t="s">
        <v>20</v>
      </c>
      <c r="N137" s="22">
        <v>0.0115</v>
      </c>
      <c r="O137" s="19" t="s">
        <v>21</v>
      </c>
      <c r="P137" s="19">
        <v>25</v>
      </c>
      <c r="Q137" s="19">
        <v>-2.71332025264776</v>
      </c>
      <c r="R137" s="19">
        <v>0.424756927276359</v>
      </c>
      <c r="S137" s="19">
        <v>0.193056495733494</v>
      </c>
      <c r="T137" s="19">
        <v>0.00162047002369115</v>
      </c>
      <c r="U137" s="19">
        <v>9.08069277882733</v>
      </c>
      <c r="W137" s="24" t="s">
        <v>418</v>
      </c>
    </row>
    <row r="138" spans="1:23" s="23" customFormat="1" ht="51">
      <c r="A138" s="20" t="s">
        <v>419</v>
      </c>
      <c r="B138" s="35" t="s">
        <v>866</v>
      </c>
      <c r="C138" s="21">
        <v>100</v>
      </c>
      <c r="D138" s="22">
        <v>4</v>
      </c>
      <c r="E138" s="22" t="s">
        <v>420</v>
      </c>
      <c r="F138" s="22" t="s">
        <v>17</v>
      </c>
      <c r="G138" s="22">
        <f>990+839+85+158+73+25</f>
        <v>2170</v>
      </c>
      <c r="H138" s="22" t="s">
        <v>18</v>
      </c>
      <c r="I138" s="22" t="s">
        <v>19</v>
      </c>
      <c r="J138" s="22">
        <v>1</v>
      </c>
      <c r="K138" s="22">
        <v>1</v>
      </c>
      <c r="L138" s="22">
        <f>K138/J138</f>
        <v>1</v>
      </c>
      <c r="M138" s="22" t="s">
        <v>20</v>
      </c>
      <c r="N138" s="22">
        <v>0.0115</v>
      </c>
      <c r="O138" s="19" t="s">
        <v>21</v>
      </c>
      <c r="P138" s="19">
        <v>9</v>
      </c>
      <c r="Q138" s="19">
        <v>-2.08364577629847</v>
      </c>
      <c r="R138" s="19">
        <v>0.263504507842594</v>
      </c>
      <c r="S138" s="19">
        <v>0.15451055662188</v>
      </c>
      <c r="T138" s="19">
        <v>0.00341050172965764</v>
      </c>
      <c r="U138" s="19">
        <v>7.22282608695652</v>
      </c>
      <c r="W138" s="23" t="s">
        <v>421</v>
      </c>
    </row>
    <row r="139" spans="1:23" s="23" customFormat="1" ht="51">
      <c r="A139" s="20" t="s">
        <v>422</v>
      </c>
      <c r="B139" s="35" t="s">
        <v>867</v>
      </c>
      <c r="C139" s="21">
        <f>8/12*100</f>
        <v>66.66666666666666</v>
      </c>
      <c r="D139" s="22">
        <v>4</v>
      </c>
      <c r="E139" s="22" t="s">
        <v>312</v>
      </c>
      <c r="F139" s="22" t="s">
        <v>17</v>
      </c>
      <c r="G139" s="22">
        <v>1172</v>
      </c>
      <c r="H139" s="22" t="s">
        <v>18</v>
      </c>
      <c r="I139" s="22" t="s">
        <v>87</v>
      </c>
      <c r="J139" s="22">
        <v>2.546</v>
      </c>
      <c r="K139" s="22">
        <v>0.05</v>
      </c>
      <c r="L139" s="22">
        <f>K139/J139</f>
        <v>0.01963864886095837</v>
      </c>
      <c r="M139" s="22" t="s">
        <v>20</v>
      </c>
      <c r="N139" s="22">
        <v>0.0115</v>
      </c>
      <c r="O139" s="19" t="s">
        <v>21</v>
      </c>
      <c r="P139" s="19">
        <v>7</v>
      </c>
      <c r="Q139" s="19">
        <v>-1.62540883620689</v>
      </c>
      <c r="R139" s="19">
        <v>0.257210647570863</v>
      </c>
      <c r="S139" s="19">
        <v>0.188584999268658</v>
      </c>
      <c r="T139" s="19">
        <v>0.00711286038983199</v>
      </c>
      <c r="U139" s="19">
        <v>5.40521794188586</v>
      </c>
      <c r="W139" s="23" t="s">
        <v>423</v>
      </c>
    </row>
    <row r="140" spans="1:23" s="23" customFormat="1" ht="63.75">
      <c r="A140" s="1" t="s">
        <v>424</v>
      </c>
      <c r="B140" s="35" t="s">
        <v>868</v>
      </c>
      <c r="C140" s="21">
        <v>100</v>
      </c>
      <c r="D140" s="22">
        <v>1</v>
      </c>
      <c r="E140" s="22" t="s">
        <v>425</v>
      </c>
      <c r="F140" s="22" t="s">
        <v>17</v>
      </c>
      <c r="G140" s="22">
        <f>780+550+450</f>
        <v>1780</v>
      </c>
      <c r="H140" s="22" t="s">
        <v>54</v>
      </c>
      <c r="I140" s="22" t="s">
        <v>966</v>
      </c>
      <c r="J140" s="22">
        <v>0.349</v>
      </c>
      <c r="K140" s="22">
        <v>0.01</v>
      </c>
      <c r="L140" s="22">
        <f>K140/J140</f>
        <v>0.02865329512893983</v>
      </c>
      <c r="M140" s="22" t="s">
        <v>20</v>
      </c>
      <c r="N140" s="22">
        <v>0.0115</v>
      </c>
      <c r="O140" s="19" t="s">
        <v>55</v>
      </c>
      <c r="P140" s="19">
        <v>5</v>
      </c>
      <c r="Q140" s="19">
        <v>-0.28070652173913</v>
      </c>
      <c r="R140" s="19">
        <v>0.904916666885563</v>
      </c>
      <c r="S140" s="19">
        <v>0.327187501472343</v>
      </c>
      <c r="T140" s="19">
        <v>0.0356838870399049</v>
      </c>
      <c r="U140" s="19">
        <v>2.62675967423913</v>
      </c>
      <c r="W140" s="23" t="s">
        <v>426</v>
      </c>
    </row>
    <row r="141" spans="1:23" s="23" customFormat="1" ht="38.25">
      <c r="A141" s="20" t="s">
        <v>427</v>
      </c>
      <c r="B141" s="35" t="s">
        <v>869</v>
      </c>
      <c r="C141" s="21">
        <f>100</f>
        <v>100</v>
      </c>
      <c r="D141" s="22">
        <v>2</v>
      </c>
      <c r="E141" s="22" t="s">
        <v>428</v>
      </c>
      <c r="F141" s="22" t="s">
        <v>429</v>
      </c>
      <c r="G141" s="22">
        <v>2416</v>
      </c>
      <c r="H141" s="22" t="s">
        <v>18</v>
      </c>
      <c r="I141" s="22" t="s">
        <v>251</v>
      </c>
      <c r="J141" s="22">
        <v>0.667</v>
      </c>
      <c r="K141" s="22">
        <v>0.01</v>
      </c>
      <c r="L141" s="22">
        <f>K141/J141</f>
        <v>0.014992503748125937</v>
      </c>
      <c r="M141" s="22" t="s">
        <v>20</v>
      </c>
      <c r="N141" s="22"/>
      <c r="O141" s="19" t="s">
        <v>125</v>
      </c>
      <c r="P141" s="19">
        <v>12</v>
      </c>
      <c r="Q141" s="19">
        <v>-0.0381355102024887</v>
      </c>
      <c r="R141" s="19">
        <v>0.392337256476597</v>
      </c>
      <c r="S141" s="19" t="s">
        <v>720</v>
      </c>
      <c r="T141" s="19" t="s">
        <v>720</v>
      </c>
      <c r="U141" s="19" t="s">
        <v>720</v>
      </c>
      <c r="W141" s="23" t="s">
        <v>430</v>
      </c>
    </row>
    <row r="142" spans="1:23" s="23" customFormat="1" ht="51">
      <c r="A142" s="1" t="s">
        <v>431</v>
      </c>
      <c r="B142" s="35" t="s">
        <v>870</v>
      </c>
      <c r="C142" s="21">
        <v>100</v>
      </c>
      <c r="D142" s="22">
        <v>3</v>
      </c>
      <c r="E142" s="22" t="s">
        <v>323</v>
      </c>
      <c r="F142" s="22" t="s">
        <v>17</v>
      </c>
      <c r="G142" s="22">
        <f>1339+290</f>
        <v>1629</v>
      </c>
      <c r="H142" s="22" t="s">
        <v>54</v>
      </c>
      <c r="I142" s="22" t="s">
        <v>305</v>
      </c>
      <c r="J142" s="22">
        <v>0.884</v>
      </c>
      <c r="K142" s="22">
        <v>0.01</v>
      </c>
      <c r="L142" s="22">
        <f>K142/J142</f>
        <v>0.011312217194570135</v>
      </c>
      <c r="M142" s="22" t="s">
        <v>20</v>
      </c>
      <c r="N142" s="22">
        <v>0.0115</v>
      </c>
      <c r="O142" s="19" t="s">
        <v>55</v>
      </c>
      <c r="P142" s="19">
        <v>14</v>
      </c>
      <c r="Q142" s="19">
        <v>-1.82565205651706</v>
      </c>
      <c r="R142" s="19">
        <v>0.511919005379573</v>
      </c>
      <c r="S142" s="19">
        <v>1.01108185395576</v>
      </c>
      <c r="T142" s="19">
        <v>0.0851905429498848</v>
      </c>
      <c r="U142" s="19">
        <v>1.59730117875305</v>
      </c>
      <c r="W142" s="23" t="s">
        <v>432</v>
      </c>
    </row>
    <row r="143" spans="1:23" s="23" customFormat="1" ht="38.25">
      <c r="A143" s="20" t="s">
        <v>433</v>
      </c>
      <c r="B143" s="35" t="s">
        <v>871</v>
      </c>
      <c r="C143" s="21">
        <f>14/26*100</f>
        <v>53.84615384615385</v>
      </c>
      <c r="D143" s="22">
        <v>2</v>
      </c>
      <c r="E143" s="22" t="s">
        <v>292</v>
      </c>
      <c r="F143" s="22" t="s">
        <v>17</v>
      </c>
      <c r="G143" s="22">
        <f>1140+1383</f>
        <v>2523</v>
      </c>
      <c r="H143" s="22" t="s">
        <v>54</v>
      </c>
      <c r="I143" s="22" t="s">
        <v>234</v>
      </c>
      <c r="J143" s="22">
        <v>0.324</v>
      </c>
      <c r="K143" s="22">
        <v>0.01</v>
      </c>
      <c r="L143" s="22">
        <f>K143/J143</f>
        <v>0.030864197530864196</v>
      </c>
      <c r="M143" s="22" t="s">
        <v>20</v>
      </c>
      <c r="N143" s="22">
        <v>0.0115</v>
      </c>
      <c r="O143" s="19" t="s">
        <v>21</v>
      </c>
      <c r="P143" s="19">
        <v>18</v>
      </c>
      <c r="Q143" s="19">
        <v>-3.09039113120145</v>
      </c>
      <c r="R143" s="19">
        <v>0.284823268878052</v>
      </c>
      <c r="S143" s="19">
        <v>0.178321002992354</v>
      </c>
      <c r="T143" s="19">
        <v>0.00198739875676245</v>
      </c>
      <c r="U143" s="19">
        <v>8.12605898355366</v>
      </c>
      <c r="W143" s="23" t="s">
        <v>434</v>
      </c>
    </row>
    <row r="144" spans="1:23" s="23" customFormat="1" ht="51">
      <c r="A144" s="20" t="s">
        <v>435</v>
      </c>
      <c r="B144" s="35" t="s">
        <v>872</v>
      </c>
      <c r="C144" s="21">
        <v>100</v>
      </c>
      <c r="D144" s="22">
        <v>3</v>
      </c>
      <c r="E144" s="22" t="s">
        <v>405</v>
      </c>
      <c r="F144" s="22" t="s">
        <v>17</v>
      </c>
      <c r="G144" s="22">
        <v>525</v>
      </c>
      <c r="H144" s="22" t="s">
        <v>54</v>
      </c>
      <c r="I144" s="22" t="s">
        <v>234</v>
      </c>
      <c r="J144" s="22">
        <v>0.135</v>
      </c>
      <c r="K144" s="22">
        <v>0.01</v>
      </c>
      <c r="L144" s="22">
        <f>K144/J144</f>
        <v>0.07407407407407407</v>
      </c>
      <c r="M144" s="22" t="s">
        <v>20</v>
      </c>
      <c r="N144" s="22">
        <v>0.0115</v>
      </c>
      <c r="O144" s="19" t="s">
        <v>55</v>
      </c>
      <c r="P144" s="19">
        <v>14</v>
      </c>
      <c r="Q144" s="19">
        <v>0.325328863300772</v>
      </c>
      <c r="R144" s="19">
        <v>1.21472369680286</v>
      </c>
      <c r="S144" s="19">
        <v>0.211608360048046</v>
      </c>
      <c r="T144" s="19">
        <v>0.0037315081701853</v>
      </c>
      <c r="U144" s="19">
        <v>8.85605373510529</v>
      </c>
      <c r="W144" s="23" t="s">
        <v>436</v>
      </c>
    </row>
    <row r="145" spans="1:23" s="23" customFormat="1" ht="51">
      <c r="A145" s="20" t="s">
        <v>437</v>
      </c>
      <c r="B145" s="35" t="s">
        <v>878</v>
      </c>
      <c r="C145" s="21">
        <f>41/49*100</f>
        <v>83.6734693877551</v>
      </c>
      <c r="D145" s="22">
        <v>5</v>
      </c>
      <c r="E145" s="22" t="s">
        <v>438</v>
      </c>
      <c r="F145" s="22" t="s">
        <v>24</v>
      </c>
      <c r="G145" s="22">
        <f>1713+335+452</f>
        <v>2500</v>
      </c>
      <c r="H145" s="22" t="s">
        <v>25</v>
      </c>
      <c r="I145" s="22" t="s">
        <v>19</v>
      </c>
      <c r="J145" s="22">
        <v>3.582</v>
      </c>
      <c r="K145" s="22">
        <v>30</v>
      </c>
      <c r="L145" s="22">
        <f>K145/J145</f>
        <v>8.375209380234507</v>
      </c>
      <c r="M145" s="22" t="s">
        <v>30</v>
      </c>
      <c r="N145" s="22">
        <v>1</v>
      </c>
      <c r="O145" s="19" t="s">
        <v>40</v>
      </c>
      <c r="P145" s="19">
        <v>47</v>
      </c>
      <c r="Q145" s="19">
        <v>2.50794787718876</v>
      </c>
      <c r="R145" s="19">
        <v>1.78323381813859</v>
      </c>
      <c r="S145" s="19">
        <v>0.215549404266475</v>
      </c>
      <c r="T145" s="19">
        <v>0.00103247879288072</v>
      </c>
      <c r="U145" s="19">
        <v>21.2566926241314</v>
      </c>
      <c r="W145" s="23" t="s">
        <v>439</v>
      </c>
    </row>
    <row r="146" spans="1:23" s="5" customFormat="1" ht="51">
      <c r="A146" s="1" t="s">
        <v>440</v>
      </c>
      <c r="B146" s="34" t="s">
        <v>879</v>
      </c>
      <c r="C146" s="4">
        <f>123/147*100</f>
        <v>83.6734693877551</v>
      </c>
      <c r="D146" s="3">
        <v>2</v>
      </c>
      <c r="E146" s="3" t="s">
        <v>441</v>
      </c>
      <c r="F146" s="3" t="s">
        <v>17</v>
      </c>
      <c r="G146" s="3">
        <v>1897</v>
      </c>
      <c r="H146" s="3" t="s">
        <v>18</v>
      </c>
      <c r="I146" s="3" t="s">
        <v>19</v>
      </c>
      <c r="J146" s="3">
        <v>0.486</v>
      </c>
      <c r="K146" s="3">
        <f>50/G146</f>
        <v>0.02635740643120717</v>
      </c>
      <c r="L146" s="22">
        <f>K146/J146</f>
        <v>0.0542333465662699</v>
      </c>
      <c r="M146" s="3" t="s">
        <v>20</v>
      </c>
      <c r="N146" s="22">
        <v>0.0115</v>
      </c>
      <c r="O146" s="2" t="s">
        <v>55</v>
      </c>
      <c r="P146" s="19">
        <v>116</v>
      </c>
      <c r="Q146" s="19">
        <v>-1.32101270508081</v>
      </c>
      <c r="R146" s="19">
        <v>0.850046994505826</v>
      </c>
      <c r="S146" s="19">
        <v>0.371587258818253</v>
      </c>
      <c r="T146" s="19">
        <v>0.00121120255189529</v>
      </c>
      <c r="U146" s="19">
        <v>8.05170796941148</v>
      </c>
      <c r="W146" s="6" t="s">
        <v>442</v>
      </c>
    </row>
    <row r="147" spans="1:23" s="23" customFormat="1" ht="51">
      <c r="A147" s="20" t="s">
        <v>443</v>
      </c>
      <c r="B147" s="35" t="s">
        <v>875</v>
      </c>
      <c r="C147" s="21">
        <v>100</v>
      </c>
      <c r="D147" s="22">
        <v>5</v>
      </c>
      <c r="E147" s="22" t="s">
        <v>444</v>
      </c>
      <c r="F147" s="22" t="s">
        <v>17</v>
      </c>
      <c r="G147" s="22"/>
      <c r="H147" s="22" t="s">
        <v>18</v>
      </c>
      <c r="I147" s="22" t="s">
        <v>155</v>
      </c>
      <c r="J147" s="22">
        <v>1</v>
      </c>
      <c r="K147" s="22">
        <v>1</v>
      </c>
      <c r="L147" s="22">
        <f>K147/J147</f>
        <v>1</v>
      </c>
      <c r="M147" s="22" t="s">
        <v>30</v>
      </c>
      <c r="N147" s="22">
        <v>1</v>
      </c>
      <c r="O147" s="19" t="s">
        <v>21</v>
      </c>
      <c r="P147" s="19">
        <v>12</v>
      </c>
      <c r="Q147" s="19">
        <v>-2.47531033796868</v>
      </c>
      <c r="R147" s="19">
        <v>0.241899358952827</v>
      </c>
      <c r="S147" s="19">
        <v>0.0488042947779404</v>
      </c>
      <c r="T147" s="19">
        <v>0.00023818591887721</v>
      </c>
      <c r="U147" s="19">
        <v>27.3</v>
      </c>
      <c r="W147" s="23" t="s">
        <v>445</v>
      </c>
    </row>
    <row r="148" spans="1:23" s="23" customFormat="1" ht="63.75">
      <c r="A148" s="1" t="s">
        <v>446</v>
      </c>
      <c r="B148" s="35" t="s">
        <v>876</v>
      </c>
      <c r="C148" s="21">
        <v>100</v>
      </c>
      <c r="D148" s="22">
        <v>2</v>
      </c>
      <c r="E148" s="22" t="s">
        <v>447</v>
      </c>
      <c r="F148" s="22" t="s">
        <v>24</v>
      </c>
      <c r="G148" s="22">
        <f>1964+2884+382+473+1045</f>
        <v>6748</v>
      </c>
      <c r="H148" s="22" t="s">
        <v>18</v>
      </c>
      <c r="I148" s="22" t="s">
        <v>19</v>
      </c>
      <c r="J148" s="22">
        <v>0.209</v>
      </c>
      <c r="K148" s="22">
        <v>0.005</v>
      </c>
      <c r="L148" s="22">
        <f>K148/J148</f>
        <v>0.023923444976076555</v>
      </c>
      <c r="M148" s="22" t="s">
        <v>20</v>
      </c>
      <c r="N148" s="22"/>
      <c r="O148" s="19" t="s">
        <v>55</v>
      </c>
      <c r="P148" s="19">
        <v>61</v>
      </c>
      <c r="Q148" s="19">
        <v>-8.09015166501953</v>
      </c>
      <c r="R148" s="19">
        <v>0.150169110661014</v>
      </c>
      <c r="S148" s="19" t="s">
        <v>720</v>
      </c>
      <c r="T148" s="19" t="s">
        <v>720</v>
      </c>
      <c r="U148" s="19" t="s">
        <v>720</v>
      </c>
      <c r="W148" s="23" t="s">
        <v>448</v>
      </c>
    </row>
    <row r="149" spans="1:23" s="23" customFormat="1" ht="51">
      <c r="A149" s="20" t="s">
        <v>449</v>
      </c>
      <c r="B149" s="35" t="s">
        <v>880</v>
      </c>
      <c r="C149" s="21">
        <v>100</v>
      </c>
      <c r="D149" s="22">
        <v>8</v>
      </c>
      <c r="E149" s="22" t="s">
        <v>450</v>
      </c>
      <c r="F149" s="22" t="s">
        <v>24</v>
      </c>
      <c r="G149" s="22">
        <v>2688</v>
      </c>
      <c r="H149" s="22" t="s">
        <v>25</v>
      </c>
      <c r="I149" s="22" t="s">
        <v>19</v>
      </c>
      <c r="J149" s="22">
        <v>0.139</v>
      </c>
      <c r="K149" s="22">
        <v>0.01</v>
      </c>
      <c r="L149" s="22">
        <f>K149/J149</f>
        <v>0.07194244604316546</v>
      </c>
      <c r="M149" s="22" t="s">
        <v>20</v>
      </c>
      <c r="N149" s="22"/>
      <c r="O149" s="19" t="s">
        <v>55</v>
      </c>
      <c r="P149" s="19">
        <v>20</v>
      </c>
      <c r="Q149" s="19">
        <v>-2.02575104219261</v>
      </c>
      <c r="R149" s="19">
        <v>0.447008377155248</v>
      </c>
      <c r="S149" s="19" t="s">
        <v>720</v>
      </c>
      <c r="T149" s="19" t="s">
        <v>720</v>
      </c>
      <c r="U149" s="19" t="s">
        <v>720</v>
      </c>
      <c r="W149" s="23" t="s">
        <v>451</v>
      </c>
    </row>
    <row r="150" spans="1:23" s="23" customFormat="1" ht="63.75">
      <c r="A150" s="1" t="s">
        <v>452</v>
      </c>
      <c r="B150" s="35" t="s">
        <v>873</v>
      </c>
      <c r="C150" s="21">
        <v>100</v>
      </c>
      <c r="D150" s="22">
        <v>3</v>
      </c>
      <c r="E150" s="22" t="s">
        <v>453</v>
      </c>
      <c r="F150" s="22" t="s">
        <v>24</v>
      </c>
      <c r="G150" s="22"/>
      <c r="H150" s="22" t="s">
        <v>25</v>
      </c>
      <c r="I150" s="22" t="s">
        <v>19</v>
      </c>
      <c r="J150" s="22">
        <v>0.29</v>
      </c>
      <c r="K150" s="22">
        <v>0.05</v>
      </c>
      <c r="L150" s="22">
        <f>K150/J150</f>
        <v>0.1724137931034483</v>
      </c>
      <c r="M150" s="22" t="s">
        <v>20</v>
      </c>
      <c r="N150" s="22"/>
      <c r="O150" s="19" t="s">
        <v>55</v>
      </c>
      <c r="P150" s="19">
        <v>16</v>
      </c>
      <c r="Q150" s="19">
        <v>-0.952994849243162</v>
      </c>
      <c r="R150" s="19">
        <v>0.648484618284883</v>
      </c>
      <c r="S150" s="19" t="s">
        <v>720</v>
      </c>
      <c r="T150" s="19" t="s">
        <v>720</v>
      </c>
      <c r="U150" s="19" t="s">
        <v>720</v>
      </c>
      <c r="W150" s="23" t="s">
        <v>454</v>
      </c>
    </row>
    <row r="151" spans="1:23" s="23" customFormat="1" ht="38.25">
      <c r="A151" s="1" t="s">
        <v>455</v>
      </c>
      <c r="B151" s="35" t="s">
        <v>961</v>
      </c>
      <c r="C151" s="21">
        <v>100</v>
      </c>
      <c r="D151" s="22">
        <v>4</v>
      </c>
      <c r="E151" s="22" t="s">
        <v>456</v>
      </c>
      <c r="F151" s="22" t="s">
        <v>17</v>
      </c>
      <c r="G151" s="22">
        <v>6575</v>
      </c>
      <c r="H151" s="22" t="s">
        <v>18</v>
      </c>
      <c r="I151" s="22" t="s">
        <v>19</v>
      </c>
      <c r="J151" s="22">
        <v>0.566</v>
      </c>
      <c r="K151" s="22">
        <v>4.98</v>
      </c>
      <c r="L151" s="22">
        <f>K151/J151</f>
        <v>8.798586572438165</v>
      </c>
      <c r="M151" s="22" t="s">
        <v>30</v>
      </c>
      <c r="N151" s="22">
        <v>1</v>
      </c>
      <c r="O151" s="19" t="s">
        <v>21</v>
      </c>
      <c r="P151" s="19">
        <v>20</v>
      </c>
      <c r="Q151" s="19">
        <v>4.0999825172011</v>
      </c>
      <c r="R151" s="19">
        <v>3.91242147775645</v>
      </c>
      <c r="S151" s="19">
        <v>0.571288224694777</v>
      </c>
      <c r="T151" s="19">
        <v>0.0181316797597172</v>
      </c>
      <c r="U151" s="19">
        <v>6.3976722611655</v>
      </c>
      <c r="W151" s="23" t="s">
        <v>457</v>
      </c>
    </row>
    <row r="152" spans="1:23" s="23" customFormat="1" ht="51">
      <c r="A152" s="20" t="s">
        <v>458</v>
      </c>
      <c r="B152" s="35" t="s">
        <v>877</v>
      </c>
      <c r="C152" s="21">
        <f>33/38*100</f>
        <v>86.8421052631579</v>
      </c>
      <c r="D152" s="22">
        <v>11</v>
      </c>
      <c r="E152" s="22" t="s">
        <v>459</v>
      </c>
      <c r="F152" s="22" t="s">
        <v>17</v>
      </c>
      <c r="G152" s="22">
        <f>772+1311</f>
        <v>2083</v>
      </c>
      <c r="H152" s="22" t="s">
        <v>25</v>
      </c>
      <c r="I152" s="22" t="s">
        <v>19</v>
      </c>
      <c r="J152" s="22">
        <v>2.765</v>
      </c>
      <c r="K152" s="22">
        <v>30</v>
      </c>
      <c r="L152" s="22">
        <f>K152/J152</f>
        <v>10.849909584086799</v>
      </c>
      <c r="M152" s="22" t="s">
        <v>30</v>
      </c>
      <c r="N152" s="22">
        <v>1</v>
      </c>
      <c r="O152" s="19" t="s">
        <v>21</v>
      </c>
      <c r="P152" s="19">
        <v>33</v>
      </c>
      <c r="Q152" s="19">
        <v>-3.90391737365897</v>
      </c>
      <c r="R152" s="19">
        <v>0.251294704145877</v>
      </c>
      <c r="S152" s="19">
        <v>0.0519154477649289</v>
      </c>
      <c r="T152" s="19">
        <v>8.69423779559054E-05</v>
      </c>
      <c r="U152" s="19">
        <v>37.1036250990441</v>
      </c>
      <c r="W152" s="23" t="s">
        <v>460</v>
      </c>
    </row>
    <row r="153" spans="1:23" s="23" customFormat="1" ht="63.75">
      <c r="A153" s="1" t="s">
        <v>461</v>
      </c>
      <c r="B153" s="35" t="s">
        <v>874</v>
      </c>
      <c r="C153" s="21">
        <v>100</v>
      </c>
      <c r="D153" s="22" t="s">
        <v>462</v>
      </c>
      <c r="E153" s="22" t="s">
        <v>148</v>
      </c>
      <c r="F153" s="22" t="s">
        <v>17</v>
      </c>
      <c r="G153" s="22">
        <v>2430</v>
      </c>
      <c r="H153" s="22" t="s">
        <v>25</v>
      </c>
      <c r="I153" s="22" t="s">
        <v>19</v>
      </c>
      <c r="J153" s="22">
        <v>0.356</v>
      </c>
      <c r="K153" s="22">
        <v>0.05</v>
      </c>
      <c r="L153" s="22">
        <f>K153/J153</f>
        <v>0.1404494382022472</v>
      </c>
      <c r="M153" s="22" t="s">
        <v>20</v>
      </c>
      <c r="N153" s="22">
        <v>0.0115</v>
      </c>
      <c r="O153" s="19" t="s">
        <v>21</v>
      </c>
      <c r="P153" s="19">
        <v>50</v>
      </c>
      <c r="Q153" s="19">
        <v>-4.07215973964069</v>
      </c>
      <c r="R153" s="19">
        <v>0.317776743120098</v>
      </c>
      <c r="S153" s="19">
        <v>0.132448988705238</v>
      </c>
      <c r="T153" s="19">
        <v>0.000365473637688342</v>
      </c>
      <c r="U153" s="19">
        <v>16.5071927919832</v>
      </c>
      <c r="W153" s="23" t="s">
        <v>463</v>
      </c>
    </row>
    <row r="154" spans="1:23" s="23" customFormat="1" ht="63.75">
      <c r="A154" s="20" t="s">
        <v>464</v>
      </c>
      <c r="B154" s="35" t="s">
        <v>881</v>
      </c>
      <c r="C154" s="21">
        <v>100</v>
      </c>
      <c r="D154" s="22">
        <v>3</v>
      </c>
      <c r="E154" s="22" t="s">
        <v>122</v>
      </c>
      <c r="F154" s="22" t="s">
        <v>123</v>
      </c>
      <c r="G154" s="22">
        <f>702+469</f>
        <v>1171</v>
      </c>
      <c r="H154" s="22" t="s">
        <v>18</v>
      </c>
      <c r="I154" s="22" t="s">
        <v>465</v>
      </c>
      <c r="J154" s="22">
        <v>0.26</v>
      </c>
      <c r="K154" s="22">
        <v>0.05</v>
      </c>
      <c r="L154" s="22">
        <f>K154/J154</f>
        <v>0.19230769230769232</v>
      </c>
      <c r="M154" s="22" t="s">
        <v>20</v>
      </c>
      <c r="N154" s="3">
        <v>0.00305</v>
      </c>
      <c r="O154" s="19" t="s">
        <v>125</v>
      </c>
      <c r="P154" s="19">
        <v>12</v>
      </c>
      <c r="Q154" s="19">
        <v>-0.167856295857968</v>
      </c>
      <c r="R154" s="19">
        <v>0.717695041243316</v>
      </c>
      <c r="S154" s="19">
        <v>0.0372442540297085</v>
      </c>
      <c r="T154" s="19">
        <v>0.000138713445822945</v>
      </c>
      <c r="U154" s="19">
        <v>49.8546854498668</v>
      </c>
      <c r="W154" s="23" t="s">
        <v>466</v>
      </c>
    </row>
    <row r="155" spans="1:23" s="23" customFormat="1" ht="51">
      <c r="A155" s="20" t="s">
        <v>467</v>
      </c>
      <c r="B155" s="35" t="s">
        <v>882</v>
      </c>
      <c r="C155" s="21">
        <v>100</v>
      </c>
      <c r="D155" s="22">
        <v>1</v>
      </c>
      <c r="E155" s="22" t="s">
        <v>417</v>
      </c>
      <c r="F155" s="22" t="s">
        <v>17</v>
      </c>
      <c r="G155" s="22"/>
      <c r="H155" s="22" t="s">
        <v>25</v>
      </c>
      <c r="I155" s="22" t="s">
        <v>468</v>
      </c>
      <c r="J155" s="22">
        <v>4.412</v>
      </c>
      <c r="K155" s="22">
        <v>90</v>
      </c>
      <c r="L155" s="22">
        <f>K155/J155</f>
        <v>20.398912058023573</v>
      </c>
      <c r="M155" s="22" t="s">
        <v>30</v>
      </c>
      <c r="N155" s="22">
        <v>1</v>
      </c>
      <c r="O155" s="19" t="s">
        <v>21</v>
      </c>
      <c r="P155" s="19">
        <v>9</v>
      </c>
      <c r="Q155" s="19">
        <v>-1.45005095137397</v>
      </c>
      <c r="R155" s="19">
        <v>0.223259250957209</v>
      </c>
      <c r="S155" s="19">
        <v>0.167638278222915</v>
      </c>
      <c r="T155" s="19">
        <v>0.00401465604650622</v>
      </c>
      <c r="U155" s="19">
        <v>7.91690276595291</v>
      </c>
      <c r="W155" s="23" t="s">
        <v>469</v>
      </c>
    </row>
    <row r="156" spans="1:23" s="23" customFormat="1" ht="51">
      <c r="A156" s="20" t="s">
        <v>470</v>
      </c>
      <c r="B156" s="35" t="s">
        <v>883</v>
      </c>
      <c r="C156" s="21">
        <v>100</v>
      </c>
      <c r="D156" s="22">
        <v>5</v>
      </c>
      <c r="E156" s="22" t="s">
        <v>209</v>
      </c>
      <c r="F156" s="22" t="s">
        <v>17</v>
      </c>
      <c r="G156" s="22">
        <v>1287</v>
      </c>
      <c r="H156" s="22" t="s">
        <v>18</v>
      </c>
      <c r="I156" s="22" t="s">
        <v>19</v>
      </c>
      <c r="J156" s="22">
        <v>43.2</v>
      </c>
      <c r="K156" s="22">
        <v>0.1</v>
      </c>
      <c r="L156" s="22">
        <f>K156/J156</f>
        <v>0.0023148148148148147</v>
      </c>
      <c r="M156" s="22" t="s">
        <v>20</v>
      </c>
      <c r="N156" s="22">
        <v>0.0115</v>
      </c>
      <c r="O156" s="19" t="s">
        <v>55</v>
      </c>
      <c r="P156" s="19">
        <v>22</v>
      </c>
      <c r="Q156" s="19">
        <v>0.291763322617086</v>
      </c>
      <c r="R156" s="19">
        <v>0.63453102703287</v>
      </c>
      <c r="S156" s="19">
        <v>0.212371488871417</v>
      </c>
      <c r="T156" s="19">
        <v>0.00225508246427312</v>
      </c>
      <c r="U156" s="19">
        <v>12.6175108851053</v>
      </c>
      <c r="W156" s="23" t="s">
        <v>471</v>
      </c>
    </row>
    <row r="157" spans="1:23" s="23" customFormat="1" ht="51">
      <c r="A157" s="20" t="s">
        <v>472</v>
      </c>
      <c r="B157" s="35" t="s">
        <v>884</v>
      </c>
      <c r="C157" s="21">
        <f>12/13*100</f>
        <v>92.3076923076923</v>
      </c>
      <c r="D157" s="22">
        <v>7</v>
      </c>
      <c r="E157" s="22" t="s">
        <v>473</v>
      </c>
      <c r="F157" s="22" t="s">
        <v>24</v>
      </c>
      <c r="G157" s="22"/>
      <c r="H157" s="22" t="s">
        <v>18</v>
      </c>
      <c r="I157" s="22" t="s">
        <v>74</v>
      </c>
      <c r="J157" s="22">
        <v>109.3</v>
      </c>
      <c r="K157" s="22">
        <v>6</v>
      </c>
      <c r="L157" s="22">
        <f>K157/J157</f>
        <v>0.05489478499542544</v>
      </c>
      <c r="M157" s="22" t="s">
        <v>30</v>
      </c>
      <c r="N157" s="22">
        <v>1</v>
      </c>
      <c r="O157" s="19" t="s">
        <v>55</v>
      </c>
      <c r="P157" s="19">
        <v>12</v>
      </c>
      <c r="Q157" s="19">
        <v>-1.86723848813346</v>
      </c>
      <c r="R157" s="19">
        <v>0.259534783091614</v>
      </c>
      <c r="S157" s="19">
        <v>0.365356331029855</v>
      </c>
      <c r="T157" s="19">
        <v>0.0133485248623597</v>
      </c>
      <c r="U157" s="19">
        <v>4.13323421809375</v>
      </c>
      <c r="W157" s="23" t="s">
        <v>474</v>
      </c>
    </row>
    <row r="158" spans="1:23" s="23" customFormat="1" ht="38.25">
      <c r="A158" s="20" t="s">
        <v>475</v>
      </c>
      <c r="B158" s="35" t="s">
        <v>886</v>
      </c>
      <c r="C158" s="21">
        <v>100</v>
      </c>
      <c r="D158" s="22">
        <v>3</v>
      </c>
      <c r="E158" s="22" t="s">
        <v>43</v>
      </c>
      <c r="F158" s="22" t="s">
        <v>17</v>
      </c>
      <c r="G158" s="22">
        <v>580</v>
      </c>
      <c r="H158" s="22" t="s">
        <v>25</v>
      </c>
      <c r="I158" s="22" t="s">
        <v>116</v>
      </c>
      <c r="J158" s="22">
        <v>2.137</v>
      </c>
      <c r="K158" s="22">
        <v>0.1</v>
      </c>
      <c r="L158" s="22">
        <f>K158/J158</f>
        <v>0.04679457182966776</v>
      </c>
      <c r="M158" s="22" t="s">
        <v>20</v>
      </c>
      <c r="N158" s="22">
        <v>0.0115</v>
      </c>
      <c r="O158" s="19" t="s">
        <v>21</v>
      </c>
      <c r="P158" s="19">
        <v>5</v>
      </c>
      <c r="Q158" s="19">
        <v>0.239246012566457</v>
      </c>
      <c r="R158" s="19">
        <v>0.839475461986728</v>
      </c>
      <c r="S158" s="19">
        <v>0.356338809722743</v>
      </c>
      <c r="T158" s="19">
        <v>0.042325782438207</v>
      </c>
      <c r="U158" s="19">
        <v>2.8524343453913</v>
      </c>
      <c r="W158" s="23" t="s">
        <v>476</v>
      </c>
    </row>
    <row r="159" spans="1:23" s="5" customFormat="1" ht="63.75">
      <c r="A159" s="20" t="s">
        <v>477</v>
      </c>
      <c r="B159" s="35" t="s">
        <v>887</v>
      </c>
      <c r="C159" s="21">
        <v>100</v>
      </c>
      <c r="D159" s="22">
        <v>14</v>
      </c>
      <c r="E159" s="22" t="s">
        <v>312</v>
      </c>
      <c r="F159" s="22" t="s">
        <v>17</v>
      </c>
      <c r="G159" s="22">
        <v>890</v>
      </c>
      <c r="H159" s="22" t="s">
        <v>25</v>
      </c>
      <c r="I159" s="22"/>
      <c r="J159" s="22">
        <v>9.5</v>
      </c>
      <c r="K159" s="22">
        <f>10/G159</f>
        <v>0.011235955056179775</v>
      </c>
      <c r="L159" s="22">
        <f>K159/J159</f>
        <v>0.0011827321111768183</v>
      </c>
      <c r="M159" s="22" t="s">
        <v>20</v>
      </c>
      <c r="N159" s="22">
        <v>0.0115</v>
      </c>
      <c r="O159" s="19" t="s">
        <v>40</v>
      </c>
      <c r="P159" s="19">
        <v>15</v>
      </c>
      <c r="Q159" s="19">
        <v>0.163003383086117</v>
      </c>
      <c r="R159" s="19">
        <v>1.47800597892305</v>
      </c>
      <c r="S159" s="19">
        <v>0.698355038021064</v>
      </c>
      <c r="T159" s="19">
        <v>0.037515366086877</v>
      </c>
      <c r="U159" s="19">
        <v>2.59793940217391</v>
      </c>
      <c r="W159" s="23" t="s">
        <v>478</v>
      </c>
    </row>
    <row r="160" spans="1:23" s="41" customFormat="1" ht="51">
      <c r="A160" s="20" t="s">
        <v>479</v>
      </c>
      <c r="B160" s="35" t="s">
        <v>888</v>
      </c>
      <c r="C160" s="21">
        <v>100</v>
      </c>
      <c r="D160" s="22">
        <v>3</v>
      </c>
      <c r="E160" s="22" t="s">
        <v>480</v>
      </c>
      <c r="F160" s="22" t="s">
        <v>17</v>
      </c>
      <c r="G160" s="22"/>
      <c r="H160" s="22" t="s">
        <v>25</v>
      </c>
      <c r="I160" s="22" t="s">
        <v>155</v>
      </c>
      <c r="J160" s="22" t="s">
        <v>34</v>
      </c>
      <c r="K160" s="22"/>
      <c r="L160" s="22"/>
      <c r="M160" s="22"/>
      <c r="N160" s="7"/>
      <c r="O160" s="19" t="s">
        <v>21</v>
      </c>
      <c r="P160" s="19">
        <v>7</v>
      </c>
      <c r="Q160" s="19">
        <v>-1.38636947400446</v>
      </c>
      <c r="R160" s="19">
        <v>0.225119282103939</v>
      </c>
      <c r="S160" s="19" t="s">
        <v>720</v>
      </c>
      <c r="T160" s="19" t="s">
        <v>720</v>
      </c>
      <c r="U160" s="19" t="s">
        <v>720</v>
      </c>
      <c r="W160" s="23" t="s">
        <v>481</v>
      </c>
    </row>
    <row r="161" spans="1:23" s="23" customFormat="1" ht="51">
      <c r="A161" s="20" t="s">
        <v>482</v>
      </c>
      <c r="B161" s="35" t="s">
        <v>889</v>
      </c>
      <c r="C161" s="21">
        <f>11/16*100</f>
        <v>68.75</v>
      </c>
      <c r="D161" s="22">
        <v>5</v>
      </c>
      <c r="E161" s="22" t="s">
        <v>275</v>
      </c>
      <c r="F161" s="22" t="s">
        <v>17</v>
      </c>
      <c r="G161" s="22">
        <v>1503</v>
      </c>
      <c r="H161" s="22" t="s">
        <v>54</v>
      </c>
      <c r="I161" s="22" t="s">
        <v>967</v>
      </c>
      <c r="J161" s="22">
        <v>31</v>
      </c>
      <c r="K161" s="22">
        <v>0.1</v>
      </c>
      <c r="L161" s="22">
        <f>K161/J161</f>
        <v>0.0032258064516129032</v>
      </c>
      <c r="M161" s="22" t="s">
        <v>20</v>
      </c>
      <c r="N161" s="22">
        <v>0.0115</v>
      </c>
      <c r="O161" s="19" t="s">
        <v>21</v>
      </c>
      <c r="P161" s="19">
        <v>9</v>
      </c>
      <c r="Q161" s="19">
        <v>-1.5106693295352</v>
      </c>
      <c r="R161" s="19">
        <v>0.307519709624083</v>
      </c>
      <c r="S161" s="19">
        <v>0.110861854703245</v>
      </c>
      <c r="T161" s="19">
        <v>0.00175576440403477</v>
      </c>
      <c r="U161" s="19">
        <v>12.3693881701086</v>
      </c>
      <c r="W161" s="23" t="s">
        <v>483</v>
      </c>
    </row>
    <row r="162" spans="1:23" s="23" customFormat="1" ht="51">
      <c r="A162" s="20" t="s">
        <v>484</v>
      </c>
      <c r="B162" s="35" t="s">
        <v>890</v>
      </c>
      <c r="C162" s="21">
        <v>100</v>
      </c>
      <c r="D162" s="22">
        <v>2</v>
      </c>
      <c r="E162" s="22" t="s">
        <v>485</v>
      </c>
      <c r="F162" s="22" t="s">
        <v>24</v>
      </c>
      <c r="G162" s="22">
        <v>8170</v>
      </c>
      <c r="H162" s="22" t="s">
        <v>18</v>
      </c>
      <c r="I162" s="22" t="s">
        <v>116</v>
      </c>
      <c r="J162" s="22">
        <v>6.8</v>
      </c>
      <c r="K162" s="22">
        <v>0.01</v>
      </c>
      <c r="L162" s="22">
        <f>K162/J162</f>
        <v>0.0014705882352941176</v>
      </c>
      <c r="M162" s="22" t="s">
        <v>20</v>
      </c>
      <c r="N162" s="22"/>
      <c r="O162" s="19" t="s">
        <v>21</v>
      </c>
      <c r="P162" s="19">
        <v>7</v>
      </c>
      <c r="Q162" s="19">
        <v>-1.2852731490412</v>
      </c>
      <c r="R162" s="19">
        <v>0.158281052582813</v>
      </c>
      <c r="S162" s="19" t="s">
        <v>720</v>
      </c>
      <c r="T162" s="19" t="s">
        <v>720</v>
      </c>
      <c r="U162" s="19" t="s">
        <v>720</v>
      </c>
      <c r="W162" s="23" t="s">
        <v>486</v>
      </c>
    </row>
    <row r="163" spans="1:23" s="23" customFormat="1" ht="76.5">
      <c r="A163" s="20" t="s">
        <v>487</v>
      </c>
      <c r="B163" s="35" t="s">
        <v>891</v>
      </c>
      <c r="C163" s="21">
        <v>100</v>
      </c>
      <c r="D163" s="22">
        <v>3</v>
      </c>
      <c r="E163" s="22" t="s">
        <v>488</v>
      </c>
      <c r="F163" s="22" t="s">
        <v>17</v>
      </c>
      <c r="G163" s="22">
        <v>874</v>
      </c>
      <c r="H163" s="22" t="s">
        <v>54</v>
      </c>
      <c r="I163" s="22" t="s">
        <v>116</v>
      </c>
      <c r="J163" s="22">
        <v>77.3</v>
      </c>
      <c r="K163" s="22">
        <v>0.1</v>
      </c>
      <c r="L163" s="22">
        <f>K163/J163</f>
        <v>0.00129366106080207</v>
      </c>
      <c r="M163" s="22" t="s">
        <v>20</v>
      </c>
      <c r="N163" s="22">
        <v>0.0115</v>
      </c>
      <c r="O163" s="19" t="s">
        <v>21</v>
      </c>
      <c r="P163" s="19">
        <v>13</v>
      </c>
      <c r="Q163" s="19">
        <v>-1.90791169267358</v>
      </c>
      <c r="R163" s="19">
        <v>0.319794682713583</v>
      </c>
      <c r="S163" s="19">
        <v>0.428895082112087</v>
      </c>
      <c r="T163" s="19">
        <v>0.0167228174054485</v>
      </c>
      <c r="U163" s="19">
        <v>3.63423239757699</v>
      </c>
      <c r="W163" s="23" t="s">
        <v>489</v>
      </c>
    </row>
    <row r="164" spans="1:23" s="23" customFormat="1" ht="51">
      <c r="A164" s="20" t="s">
        <v>490</v>
      </c>
      <c r="B164" s="35" t="s">
        <v>892</v>
      </c>
      <c r="C164" s="21">
        <f>10/11*100</f>
        <v>90.9090909090909</v>
      </c>
      <c r="D164" s="22">
        <v>2</v>
      </c>
      <c r="E164" s="22" t="s">
        <v>491</v>
      </c>
      <c r="F164" s="22" t="s">
        <v>24</v>
      </c>
      <c r="G164" s="22">
        <v>1844</v>
      </c>
      <c r="H164" s="22" t="s">
        <v>18</v>
      </c>
      <c r="I164" s="22" t="s">
        <v>19</v>
      </c>
      <c r="J164" s="22">
        <v>15.2</v>
      </c>
      <c r="K164" s="22">
        <v>0.05</v>
      </c>
      <c r="L164" s="22">
        <f>K164/J164</f>
        <v>0.0032894736842105266</v>
      </c>
      <c r="M164" s="22" t="s">
        <v>20</v>
      </c>
      <c r="N164" s="22"/>
      <c r="O164" s="19" t="s">
        <v>21</v>
      </c>
      <c r="P164" s="19">
        <v>15</v>
      </c>
      <c r="Q164" s="19">
        <v>-3.54048633466657</v>
      </c>
      <c r="R164" s="19">
        <v>0.148906712813419</v>
      </c>
      <c r="S164" s="19" t="s">
        <v>720</v>
      </c>
      <c r="T164" s="19" t="s">
        <v>720</v>
      </c>
      <c r="U164" s="19" t="s">
        <v>720</v>
      </c>
      <c r="W164" s="23" t="s">
        <v>492</v>
      </c>
    </row>
    <row r="165" spans="1:23" s="23" customFormat="1" ht="51">
      <c r="A165" s="20" t="s">
        <v>493</v>
      </c>
      <c r="B165" s="35" t="s">
        <v>885</v>
      </c>
      <c r="C165" s="21">
        <v>100</v>
      </c>
      <c r="D165" s="22">
        <v>1</v>
      </c>
      <c r="E165" s="22" t="s">
        <v>43</v>
      </c>
      <c r="F165" s="22" t="s">
        <v>17</v>
      </c>
      <c r="G165" s="22">
        <v>1140</v>
      </c>
      <c r="H165" s="22" t="s">
        <v>18</v>
      </c>
      <c r="I165" s="22" t="s">
        <v>494</v>
      </c>
      <c r="J165" s="22">
        <v>61.7</v>
      </c>
      <c r="K165" s="22">
        <v>0.1</v>
      </c>
      <c r="L165" s="22">
        <f>K165/J165</f>
        <v>0.0016207455429497568</v>
      </c>
      <c r="M165" s="22" t="s">
        <v>20</v>
      </c>
      <c r="N165" s="22">
        <v>0.0115</v>
      </c>
      <c r="O165" s="19" t="s">
        <v>21</v>
      </c>
      <c r="P165" s="19">
        <v>15</v>
      </c>
      <c r="Q165" s="19">
        <v>-2.18230887462887</v>
      </c>
      <c r="R165" s="19">
        <v>0.395558667929098</v>
      </c>
      <c r="S165" s="19">
        <v>0.363541739590138</v>
      </c>
      <c r="T165" s="19">
        <v>0.0101663535710941</v>
      </c>
      <c r="U165" s="19">
        <v>4.56130719760529</v>
      </c>
      <c r="W165" s="23" t="s">
        <v>495</v>
      </c>
    </row>
    <row r="166" spans="1:23" s="23" customFormat="1" ht="63.75">
      <c r="A166" s="20" t="s">
        <v>496</v>
      </c>
      <c r="B166" s="35" t="s">
        <v>893</v>
      </c>
      <c r="C166" s="21">
        <v>100</v>
      </c>
      <c r="D166" s="22">
        <v>4</v>
      </c>
      <c r="E166" s="22" t="s">
        <v>294</v>
      </c>
      <c r="F166" s="22" t="s">
        <v>17</v>
      </c>
      <c r="G166" s="22">
        <v>1196</v>
      </c>
      <c r="H166" s="22" t="s">
        <v>18</v>
      </c>
      <c r="I166" s="22" t="s">
        <v>19</v>
      </c>
      <c r="J166" s="22">
        <v>4.5</v>
      </c>
      <c r="K166" s="22">
        <v>0.05</v>
      </c>
      <c r="L166" s="22">
        <f>K166/J166</f>
        <v>0.011111111111111112</v>
      </c>
      <c r="M166" s="22" t="s">
        <v>20</v>
      </c>
      <c r="N166" s="22">
        <v>0.0115</v>
      </c>
      <c r="O166" s="19" t="s">
        <v>21</v>
      </c>
      <c r="P166" s="19">
        <v>55</v>
      </c>
      <c r="Q166" s="19">
        <v>-4.99521727391274</v>
      </c>
      <c r="R166" s="19">
        <v>0.303262045266094</v>
      </c>
      <c r="S166" s="19">
        <v>0.131360647505373</v>
      </c>
      <c r="T166" s="19">
        <v>0.000325577730434546</v>
      </c>
      <c r="U166" s="19">
        <v>14.8839445975373</v>
      </c>
      <c r="W166" s="23" t="s">
        <v>497</v>
      </c>
    </row>
    <row r="167" spans="1:23" s="23" customFormat="1" ht="51">
      <c r="A167" s="20" t="s">
        <v>498</v>
      </c>
      <c r="B167" s="35" t="s">
        <v>894</v>
      </c>
      <c r="C167" s="21">
        <f>10/13*100</f>
        <v>76.92307692307693</v>
      </c>
      <c r="D167" s="22">
        <v>4</v>
      </c>
      <c r="E167" s="22" t="s">
        <v>43</v>
      </c>
      <c r="F167" s="22" t="s">
        <v>17</v>
      </c>
      <c r="G167" s="22">
        <v>1144</v>
      </c>
      <c r="H167" s="22" t="s">
        <v>18</v>
      </c>
      <c r="I167" s="22" t="s">
        <v>247</v>
      </c>
      <c r="J167" s="22">
        <v>59.3</v>
      </c>
      <c r="K167" s="22">
        <v>6</v>
      </c>
      <c r="L167" s="22">
        <f>K167/J167</f>
        <v>0.10118043844856661</v>
      </c>
      <c r="M167" s="22" t="s">
        <v>30</v>
      </c>
      <c r="N167" s="22">
        <v>1</v>
      </c>
      <c r="O167" s="19" t="s">
        <v>21</v>
      </c>
      <c r="P167" s="19">
        <v>10</v>
      </c>
      <c r="Q167" s="19">
        <v>-1.82587347453805</v>
      </c>
      <c r="R167" s="19">
        <v>0.325721289377343</v>
      </c>
      <c r="S167" s="19">
        <v>0.26884279842637</v>
      </c>
      <c r="T167" s="19">
        <v>0.00903455628321526</v>
      </c>
      <c r="U167" s="19">
        <v>4.79342325024999</v>
      </c>
      <c r="W167" s="23" t="s">
        <v>499</v>
      </c>
    </row>
    <row r="168" spans="1:23" s="23" customFormat="1" ht="51">
      <c r="A168" s="20" t="s">
        <v>500</v>
      </c>
      <c r="B168" s="35" t="s">
        <v>895</v>
      </c>
      <c r="C168" s="21">
        <v>100</v>
      </c>
      <c r="D168" s="22">
        <v>4</v>
      </c>
      <c r="E168" s="22" t="s">
        <v>501</v>
      </c>
      <c r="F168" s="22" t="s">
        <v>123</v>
      </c>
      <c r="G168" s="22">
        <v>1152</v>
      </c>
      <c r="H168" s="22" t="s">
        <v>18</v>
      </c>
      <c r="I168" s="22" t="s">
        <v>234</v>
      </c>
      <c r="J168" s="22">
        <v>92</v>
      </c>
      <c r="K168" s="22">
        <v>0.04</v>
      </c>
      <c r="L168" s="22">
        <f>K168/J168</f>
        <v>0.0004347826086956522</v>
      </c>
      <c r="M168" s="22" t="s">
        <v>20</v>
      </c>
      <c r="N168" s="22"/>
      <c r="O168" s="19" t="s">
        <v>21</v>
      </c>
      <c r="P168" s="19">
        <v>14</v>
      </c>
      <c r="Q168" s="19">
        <v>-0.732158988256551</v>
      </c>
      <c r="R168" s="19">
        <v>0.98388111934217</v>
      </c>
      <c r="S168" s="19" t="s">
        <v>720</v>
      </c>
      <c r="T168" s="19" t="s">
        <v>720</v>
      </c>
      <c r="U168" s="19" t="s">
        <v>720</v>
      </c>
      <c r="W168" s="23" t="s">
        <v>502</v>
      </c>
    </row>
    <row r="169" spans="1:23" s="23" customFormat="1" ht="63.75">
      <c r="A169" s="20" t="s">
        <v>503</v>
      </c>
      <c r="B169" s="35" t="s">
        <v>896</v>
      </c>
      <c r="C169" s="21">
        <v>100</v>
      </c>
      <c r="D169" s="22">
        <v>2</v>
      </c>
      <c r="E169" s="22" t="s">
        <v>43</v>
      </c>
      <c r="F169" s="22" t="s">
        <v>17</v>
      </c>
      <c r="G169" s="22">
        <v>1140</v>
      </c>
      <c r="H169" s="22" t="s">
        <v>18</v>
      </c>
      <c r="I169" s="22" t="s">
        <v>116</v>
      </c>
      <c r="J169" s="22">
        <v>56</v>
      </c>
      <c r="K169" s="22">
        <v>8</v>
      </c>
      <c r="L169" s="22">
        <f>K169/J169</f>
        <v>0.14285714285714285</v>
      </c>
      <c r="M169" s="22" t="s">
        <v>30</v>
      </c>
      <c r="N169" s="22">
        <v>1</v>
      </c>
      <c r="O169" s="19" t="s">
        <v>21</v>
      </c>
      <c r="P169" s="19">
        <v>33</v>
      </c>
      <c r="Q169" s="19">
        <v>-4.0067903563982</v>
      </c>
      <c r="R169" s="19">
        <v>0.302336143274915</v>
      </c>
      <c r="S169" s="19">
        <v>0.333640836074723</v>
      </c>
      <c r="T169" s="19">
        <v>0.00359084540311743</v>
      </c>
      <c r="U169" s="19">
        <v>5.5117559578927</v>
      </c>
      <c r="W169" s="23" t="s">
        <v>504</v>
      </c>
    </row>
    <row r="170" spans="1:23" s="23" customFormat="1" ht="51">
      <c r="A170" s="20" t="s">
        <v>505</v>
      </c>
      <c r="B170" s="35" t="s">
        <v>897</v>
      </c>
      <c r="C170" s="21">
        <f>19/34*100</f>
        <v>55.88235294117647</v>
      </c>
      <c r="D170" s="22">
        <v>4</v>
      </c>
      <c r="E170" s="22" t="s">
        <v>134</v>
      </c>
      <c r="F170" s="22" t="s">
        <v>17</v>
      </c>
      <c r="G170" s="22">
        <v>1825</v>
      </c>
      <c r="H170" s="22" t="s">
        <v>54</v>
      </c>
      <c r="I170" s="22" t="s">
        <v>234</v>
      </c>
      <c r="J170" s="22">
        <v>1.3</v>
      </c>
      <c r="K170" s="22">
        <v>0.005874</v>
      </c>
      <c r="L170" s="22">
        <f>K170/J170</f>
        <v>0.004518461538461538</v>
      </c>
      <c r="M170" s="22" t="s">
        <v>20</v>
      </c>
      <c r="N170" s="22">
        <v>0.0115</v>
      </c>
      <c r="O170" s="19" t="s">
        <v>21</v>
      </c>
      <c r="P170" s="19">
        <v>12</v>
      </c>
      <c r="Q170" s="19">
        <v>-4.3014179959231</v>
      </c>
      <c r="R170" s="19">
        <v>0.0364810250766305</v>
      </c>
      <c r="S170" s="19">
        <v>0.195636900465797</v>
      </c>
      <c r="T170" s="19">
        <v>0.00382737968238641</v>
      </c>
      <c r="U170" s="19">
        <v>4.8667601125</v>
      </c>
      <c r="W170" s="23" t="s">
        <v>506</v>
      </c>
    </row>
    <row r="171" spans="1:23" s="23" customFormat="1" ht="63.75">
      <c r="A171" s="20" t="s">
        <v>507</v>
      </c>
      <c r="B171" s="35" t="s">
        <v>898</v>
      </c>
      <c r="C171" s="21">
        <f>13/17*100</f>
        <v>76.47058823529412</v>
      </c>
      <c r="D171" s="22">
        <v>3</v>
      </c>
      <c r="E171" s="22" t="s">
        <v>148</v>
      </c>
      <c r="F171" s="22" t="s">
        <v>17</v>
      </c>
      <c r="G171" s="22">
        <v>829</v>
      </c>
      <c r="H171" s="22" t="s">
        <v>18</v>
      </c>
      <c r="I171" s="22"/>
      <c r="J171" s="22">
        <v>37.2</v>
      </c>
      <c r="K171" s="22">
        <v>0.1</v>
      </c>
      <c r="L171" s="22">
        <f>K171/J171</f>
        <v>0.0026881720430107525</v>
      </c>
      <c r="M171" s="22" t="s">
        <v>20</v>
      </c>
      <c r="N171" s="22">
        <v>0.0115</v>
      </c>
      <c r="O171" s="19" t="s">
        <v>21</v>
      </c>
      <c r="P171" s="19">
        <v>13</v>
      </c>
      <c r="Q171" s="19">
        <v>-1.94932408469166</v>
      </c>
      <c r="R171" s="19">
        <v>0.309771068052092</v>
      </c>
      <c r="S171" s="19">
        <v>0.163395835947666</v>
      </c>
      <c r="T171" s="19">
        <v>0.00242710901863971</v>
      </c>
      <c r="U171" s="19">
        <v>9.2122850910326</v>
      </c>
      <c r="W171" s="23" t="s">
        <v>508</v>
      </c>
    </row>
    <row r="172" spans="1:23" s="23" customFormat="1" ht="63.75">
      <c r="A172" s="20" t="s">
        <v>509</v>
      </c>
      <c r="B172" s="35" t="s">
        <v>899</v>
      </c>
      <c r="C172" s="21">
        <v>100</v>
      </c>
      <c r="D172" s="22">
        <v>4</v>
      </c>
      <c r="E172" s="22" t="s">
        <v>312</v>
      </c>
      <c r="F172" s="22" t="s">
        <v>17</v>
      </c>
      <c r="G172" s="22">
        <v>350</v>
      </c>
      <c r="H172" s="22" t="s">
        <v>54</v>
      </c>
      <c r="I172" s="22" t="s">
        <v>234</v>
      </c>
      <c r="J172" s="22">
        <v>9.3</v>
      </c>
      <c r="K172" s="22">
        <v>0.5</v>
      </c>
      <c r="L172" s="22">
        <f>K172/J172</f>
        <v>0.05376344086021505</v>
      </c>
      <c r="M172" s="22" t="s">
        <v>20</v>
      </c>
      <c r="N172" s="22">
        <v>0.0115</v>
      </c>
      <c r="O172" s="19" t="s">
        <v>55</v>
      </c>
      <c r="P172" s="19">
        <v>13</v>
      </c>
      <c r="Q172" s="19">
        <v>-2.09397760062651</v>
      </c>
      <c r="R172" s="19">
        <v>0.368758150455782</v>
      </c>
      <c r="S172" s="19">
        <v>0.0487142855876285</v>
      </c>
      <c r="T172" s="19">
        <v>0.00021573469275573</v>
      </c>
      <c r="U172" s="19">
        <v>30.3101138391304</v>
      </c>
      <c r="W172" s="23" t="s">
        <v>510</v>
      </c>
    </row>
    <row r="173" spans="1:23" s="23" customFormat="1" ht="63.75">
      <c r="A173" s="20" t="s">
        <v>511</v>
      </c>
      <c r="B173" s="35" t="s">
        <v>900</v>
      </c>
      <c r="C173" s="21">
        <v>100</v>
      </c>
      <c r="D173" s="22">
        <v>3</v>
      </c>
      <c r="E173" s="22" t="s">
        <v>43</v>
      </c>
      <c r="F173" s="22" t="s">
        <v>17</v>
      </c>
      <c r="G173" s="22">
        <v>1143</v>
      </c>
      <c r="H173" s="22" t="s">
        <v>18</v>
      </c>
      <c r="I173" s="22" t="s">
        <v>162</v>
      </c>
      <c r="J173" s="22">
        <v>18.1</v>
      </c>
      <c r="K173" s="22">
        <v>0.1</v>
      </c>
      <c r="L173" s="22">
        <f>K173/J173</f>
        <v>0.0055248618784530384</v>
      </c>
      <c r="M173" s="22" t="s">
        <v>20</v>
      </c>
      <c r="N173" s="22">
        <v>0.0115</v>
      </c>
      <c r="O173" s="19" t="s">
        <v>21</v>
      </c>
      <c r="P173" s="19">
        <v>6</v>
      </c>
      <c r="Q173" s="19">
        <v>-0.337575393540659</v>
      </c>
      <c r="R173" s="19">
        <v>0.548457803086912</v>
      </c>
      <c r="S173" s="19">
        <v>0.209722917300453</v>
      </c>
      <c r="T173" s="19">
        <v>0.0109959255102532</v>
      </c>
      <c r="U173" s="19">
        <v>5.14953170108695</v>
      </c>
      <c r="W173" s="23" t="s">
        <v>512</v>
      </c>
    </row>
    <row r="174" spans="1:23" s="23" customFormat="1" ht="51">
      <c r="A174" s="20" t="s">
        <v>513</v>
      </c>
      <c r="B174" s="35" t="s">
        <v>901</v>
      </c>
      <c r="C174" s="21">
        <v>100</v>
      </c>
      <c r="D174" s="22">
        <v>2</v>
      </c>
      <c r="E174" s="22" t="s">
        <v>43</v>
      </c>
      <c r="F174" s="22" t="s">
        <v>17</v>
      </c>
      <c r="G174" s="22">
        <v>682</v>
      </c>
      <c r="H174" s="22" t="s">
        <v>18</v>
      </c>
      <c r="I174" s="22" t="s">
        <v>19</v>
      </c>
      <c r="J174" s="22">
        <v>18.8</v>
      </c>
      <c r="K174" s="22">
        <v>0.1</v>
      </c>
      <c r="L174" s="22">
        <f>K174/J174</f>
        <v>0.005319148936170213</v>
      </c>
      <c r="M174" s="22" t="s">
        <v>20</v>
      </c>
      <c r="N174" s="22">
        <v>0.0115</v>
      </c>
      <c r="O174" s="19" t="s">
        <v>40</v>
      </c>
      <c r="P174" s="19">
        <v>20</v>
      </c>
      <c r="Q174" s="19">
        <v>-1.45869030192811</v>
      </c>
      <c r="R174" s="19">
        <v>0.529019241530412</v>
      </c>
      <c r="S174" s="19">
        <v>0.119488007982062</v>
      </c>
      <c r="T174" s="19">
        <v>0.000793188002862304</v>
      </c>
      <c r="U174" s="19">
        <v>16.8425264124094</v>
      </c>
      <c r="W174" s="23" t="s">
        <v>514</v>
      </c>
    </row>
    <row r="175" spans="1:23" s="23" customFormat="1" ht="51">
      <c r="A175" s="20" t="s">
        <v>515</v>
      </c>
      <c r="B175" s="35" t="s">
        <v>902</v>
      </c>
      <c r="C175" s="21">
        <f>37/60*100</f>
        <v>61.66666666666667</v>
      </c>
      <c r="D175" s="22">
        <v>2</v>
      </c>
      <c r="E175" s="22" t="s">
        <v>43</v>
      </c>
      <c r="F175" s="22" t="s">
        <v>17</v>
      </c>
      <c r="G175" s="22">
        <v>382</v>
      </c>
      <c r="H175" s="22" t="s">
        <v>54</v>
      </c>
      <c r="I175" s="22" t="s">
        <v>234</v>
      </c>
      <c r="J175" s="22">
        <v>38</v>
      </c>
      <c r="K175" s="22">
        <v>0.1</v>
      </c>
      <c r="L175" s="22">
        <f>K175/J175</f>
        <v>0.002631578947368421</v>
      </c>
      <c r="M175" s="22" t="s">
        <v>20</v>
      </c>
      <c r="N175" s="22">
        <v>0.0115</v>
      </c>
      <c r="O175" s="19" t="s">
        <v>21</v>
      </c>
      <c r="P175" s="19">
        <v>27</v>
      </c>
      <c r="Q175" s="19">
        <v>-2.60832457323017</v>
      </c>
      <c r="R175" s="19">
        <v>0.524701640898585</v>
      </c>
      <c r="S175" s="19">
        <v>0.424074337962144</v>
      </c>
      <c r="T175" s="19">
        <v>0.00719356176472124</v>
      </c>
      <c r="U175" s="19">
        <v>4.57758280512907</v>
      </c>
      <c r="W175" s="23" t="s">
        <v>516</v>
      </c>
    </row>
    <row r="176" spans="1:23" s="23" customFormat="1" ht="51">
      <c r="A176" s="20" t="s">
        <v>517</v>
      </c>
      <c r="B176" s="35" t="s">
        <v>962</v>
      </c>
      <c r="C176" s="21">
        <f>13/23*100</f>
        <v>56.52173913043478</v>
      </c>
      <c r="D176" s="22">
        <v>3</v>
      </c>
      <c r="E176" s="22" t="s">
        <v>385</v>
      </c>
      <c r="F176" s="22" t="s">
        <v>17</v>
      </c>
      <c r="G176" s="22">
        <v>600</v>
      </c>
      <c r="H176" s="22" t="s">
        <v>18</v>
      </c>
      <c r="I176" s="22" t="s">
        <v>19</v>
      </c>
      <c r="J176" s="22">
        <v>4.5</v>
      </c>
      <c r="K176" s="22">
        <v>0.05</v>
      </c>
      <c r="L176" s="22">
        <f>K176/J176</f>
        <v>0.011111111111111112</v>
      </c>
      <c r="M176" s="22" t="s">
        <v>20</v>
      </c>
      <c r="N176" s="22">
        <v>0.0115</v>
      </c>
      <c r="O176" s="19" t="s">
        <v>55</v>
      </c>
      <c r="P176" s="19">
        <v>13</v>
      </c>
      <c r="Q176" s="19">
        <v>2.80775631175105</v>
      </c>
      <c r="R176" s="19">
        <v>0.275289275506344</v>
      </c>
      <c r="S176" s="19">
        <v>0.0848518734030184</v>
      </c>
      <c r="T176" s="19">
        <v>0.000654530947272897</v>
      </c>
      <c r="U176" s="19">
        <v>47.2078799627038</v>
      </c>
      <c r="W176" s="23" t="s">
        <v>518</v>
      </c>
    </row>
    <row r="177" spans="1:23" s="23" customFormat="1" ht="51">
      <c r="A177" s="20" t="s">
        <v>519</v>
      </c>
      <c r="B177" s="35" t="s">
        <v>903</v>
      </c>
      <c r="C177" s="21">
        <v>100</v>
      </c>
      <c r="D177" s="22">
        <v>4</v>
      </c>
      <c r="E177" s="22" t="s">
        <v>148</v>
      </c>
      <c r="F177" s="22" t="s">
        <v>17</v>
      </c>
      <c r="G177" s="22">
        <v>1311</v>
      </c>
      <c r="H177" s="22" t="s">
        <v>18</v>
      </c>
      <c r="I177" s="22" t="s">
        <v>19</v>
      </c>
      <c r="J177" s="22">
        <v>2.92</v>
      </c>
      <c r="K177" s="22">
        <v>20</v>
      </c>
      <c r="L177" s="22">
        <f>K177/J177</f>
        <v>6.8493150684931505</v>
      </c>
      <c r="M177" s="22" t="s">
        <v>30</v>
      </c>
      <c r="N177" s="22">
        <v>1</v>
      </c>
      <c r="O177" s="19" t="s">
        <v>55</v>
      </c>
      <c r="P177" s="19">
        <v>14</v>
      </c>
      <c r="Q177" s="19">
        <v>-0.156235724074922</v>
      </c>
      <c r="R177" s="19">
        <v>1.02427401056657</v>
      </c>
      <c r="S177" s="19">
        <v>0.160073092747934</v>
      </c>
      <c r="T177" s="19">
        <v>0.00213528291849073</v>
      </c>
      <c r="U177" s="19">
        <v>10.8712899535551</v>
      </c>
      <c r="W177" s="23" t="s">
        <v>520</v>
      </c>
    </row>
    <row r="178" spans="1:23" s="23" customFormat="1" ht="63.75">
      <c r="A178" s="1" t="s">
        <v>521</v>
      </c>
      <c r="B178" s="35" t="s">
        <v>963</v>
      </c>
      <c r="C178" s="21">
        <v>100</v>
      </c>
      <c r="D178" s="22">
        <v>4</v>
      </c>
      <c r="E178" s="22" t="s">
        <v>90</v>
      </c>
      <c r="F178" s="22" t="s">
        <v>17</v>
      </c>
      <c r="G178" s="22">
        <v>816</v>
      </c>
      <c r="H178" s="22" t="s">
        <v>18</v>
      </c>
      <c r="I178" s="22" t="s">
        <v>87</v>
      </c>
      <c r="J178" s="22">
        <v>0.191</v>
      </c>
      <c r="K178" s="22">
        <v>0.005</v>
      </c>
      <c r="L178" s="22">
        <f>K178/J178</f>
        <v>0.02617801047120419</v>
      </c>
      <c r="M178" s="22" t="s">
        <v>20</v>
      </c>
      <c r="N178" s="22">
        <v>0.0115</v>
      </c>
      <c r="O178" s="19" t="s">
        <v>55</v>
      </c>
      <c r="P178" s="19">
        <v>18</v>
      </c>
      <c r="Q178" s="19">
        <v>-2.59544738627845</v>
      </c>
      <c r="R178" s="19">
        <v>0.338984239977959</v>
      </c>
      <c r="S178" s="19">
        <v>0.302637773812558</v>
      </c>
      <c r="T178" s="19">
        <v>0.00572435138363883</v>
      </c>
      <c r="U178" s="19">
        <v>4.92971764402173</v>
      </c>
      <c r="W178" s="23" t="s">
        <v>522</v>
      </c>
    </row>
    <row r="179" spans="1:23" s="23" customFormat="1" ht="51">
      <c r="A179" s="1" t="s">
        <v>523</v>
      </c>
      <c r="B179" s="35" t="s">
        <v>904</v>
      </c>
      <c r="C179" s="21">
        <f>17/25*100</f>
        <v>68</v>
      </c>
      <c r="D179" s="22">
        <v>2</v>
      </c>
      <c r="E179" s="22" t="s">
        <v>524</v>
      </c>
      <c r="F179" s="22" t="s">
        <v>429</v>
      </c>
      <c r="G179" s="22">
        <v>973</v>
      </c>
      <c r="H179" s="22" t="s">
        <v>18</v>
      </c>
      <c r="I179" s="22" t="s">
        <v>19</v>
      </c>
      <c r="J179" s="22">
        <v>0.565</v>
      </c>
      <c r="K179" s="22">
        <v>0.005</v>
      </c>
      <c r="L179" s="22">
        <f>K179/J179</f>
        <v>0.008849557522123895</v>
      </c>
      <c r="M179" s="22" t="s">
        <v>20</v>
      </c>
      <c r="N179" s="22"/>
      <c r="O179" s="19" t="s">
        <v>125</v>
      </c>
      <c r="P179" s="19">
        <v>7</v>
      </c>
      <c r="Q179" s="19">
        <v>-3.06495614298182</v>
      </c>
      <c r="R179" s="19">
        <v>0.0257583254555852</v>
      </c>
      <c r="S179" s="19" t="s">
        <v>720</v>
      </c>
      <c r="T179" s="19" t="s">
        <v>720</v>
      </c>
      <c r="U179" s="19" t="s">
        <v>720</v>
      </c>
      <c r="W179" s="23" t="s">
        <v>525</v>
      </c>
    </row>
    <row r="180" spans="1:23" s="23" customFormat="1" ht="51">
      <c r="A180" s="1" t="s">
        <v>526</v>
      </c>
      <c r="B180" s="35" t="s">
        <v>904</v>
      </c>
      <c r="C180" s="21">
        <f>17/25*100</f>
        <v>68</v>
      </c>
      <c r="D180" s="22">
        <v>4</v>
      </c>
      <c r="E180" s="22" t="s">
        <v>524</v>
      </c>
      <c r="F180" s="22" t="s">
        <v>429</v>
      </c>
      <c r="G180" s="22">
        <v>973</v>
      </c>
      <c r="H180" s="22" t="s">
        <v>18</v>
      </c>
      <c r="I180" s="22" t="s">
        <v>19</v>
      </c>
      <c r="J180" s="22">
        <v>0.358</v>
      </c>
      <c r="K180" s="22">
        <v>0.005</v>
      </c>
      <c r="L180" s="22">
        <f>K180/J180</f>
        <v>0.013966480446927375</v>
      </c>
      <c r="M180" s="22" t="s">
        <v>20</v>
      </c>
      <c r="N180" s="22"/>
      <c r="O180" s="19" t="s">
        <v>125</v>
      </c>
      <c r="P180" s="19">
        <v>7</v>
      </c>
      <c r="Q180" s="19">
        <v>-1.35058362102139</v>
      </c>
      <c r="R180" s="19">
        <v>0.332478895542721</v>
      </c>
      <c r="S180" s="19" t="s">
        <v>720</v>
      </c>
      <c r="T180" s="19" t="s">
        <v>720</v>
      </c>
      <c r="U180" s="19" t="s">
        <v>720</v>
      </c>
      <c r="W180" s="23" t="s">
        <v>527</v>
      </c>
    </row>
    <row r="181" spans="1:23" s="23" customFormat="1" ht="51">
      <c r="A181" s="1" t="s">
        <v>528</v>
      </c>
      <c r="B181" s="35" t="s">
        <v>905</v>
      </c>
      <c r="C181" s="21">
        <f>13/25*100</f>
        <v>52</v>
      </c>
      <c r="D181" s="22">
        <v>4</v>
      </c>
      <c r="E181" s="22" t="s">
        <v>122</v>
      </c>
      <c r="F181" s="22" t="s">
        <v>123</v>
      </c>
      <c r="G181" s="22">
        <v>607</v>
      </c>
      <c r="H181" s="22" t="s">
        <v>18</v>
      </c>
      <c r="I181" s="22" t="s">
        <v>155</v>
      </c>
      <c r="J181" s="22">
        <v>0.138</v>
      </c>
      <c r="K181" s="22">
        <f>5/G181</f>
        <v>0.008237232289950576</v>
      </c>
      <c r="L181" s="22">
        <f>K181/J181</f>
        <v>0.05969008905761287</v>
      </c>
      <c r="M181" s="22" t="s">
        <v>20</v>
      </c>
      <c r="N181" s="3">
        <v>0.00305</v>
      </c>
      <c r="O181" s="19" t="s">
        <v>125</v>
      </c>
      <c r="P181" s="19">
        <v>34</v>
      </c>
      <c r="Q181" s="19">
        <v>-0.74407778358227</v>
      </c>
      <c r="R181" s="19">
        <v>0.76883664970862</v>
      </c>
      <c r="S181" s="19">
        <v>0.340779298627094</v>
      </c>
      <c r="T181" s="19">
        <v>0.0036290790741492</v>
      </c>
      <c r="U181" s="19">
        <v>8.2440140111464</v>
      </c>
      <c r="W181" s="23" t="s">
        <v>529</v>
      </c>
    </row>
    <row r="182" spans="1:23" s="23" customFormat="1" ht="63.75">
      <c r="A182" s="1" t="s">
        <v>530</v>
      </c>
      <c r="B182" s="35" t="s">
        <v>906</v>
      </c>
      <c r="C182" s="21">
        <f>43/85*100</f>
        <v>50.588235294117645</v>
      </c>
      <c r="D182" s="22">
        <v>3</v>
      </c>
      <c r="E182" s="22" t="s">
        <v>531</v>
      </c>
      <c r="F182" s="22" t="s">
        <v>429</v>
      </c>
      <c r="G182" s="22">
        <v>2560</v>
      </c>
      <c r="H182" s="22" t="s">
        <v>25</v>
      </c>
      <c r="I182" s="22" t="s">
        <v>19</v>
      </c>
      <c r="J182" s="22">
        <v>0.275</v>
      </c>
      <c r="K182" s="22">
        <v>0.01</v>
      </c>
      <c r="L182" s="22">
        <f>K182/J182</f>
        <v>0.03636363636363636</v>
      </c>
      <c r="M182" s="22" t="s">
        <v>20</v>
      </c>
      <c r="N182" s="22"/>
      <c r="O182" s="19" t="s">
        <v>125</v>
      </c>
      <c r="P182" s="19">
        <v>40</v>
      </c>
      <c r="Q182" s="19">
        <v>0.962688407678577</v>
      </c>
      <c r="R182" s="19">
        <v>1.35347891664493</v>
      </c>
      <c r="S182" s="19" t="s">
        <v>720</v>
      </c>
      <c r="T182" s="19" t="s">
        <v>720</v>
      </c>
      <c r="U182" s="19" t="s">
        <v>720</v>
      </c>
      <c r="W182" s="23" t="s">
        <v>532</v>
      </c>
    </row>
    <row r="183" spans="1:23" s="23" customFormat="1" ht="63.75">
      <c r="A183" s="20" t="s">
        <v>533</v>
      </c>
      <c r="B183" s="35" t="s">
        <v>907</v>
      </c>
      <c r="C183" s="21">
        <f>38/51*100</f>
        <v>74.50980392156863</v>
      </c>
      <c r="D183" s="22" t="s">
        <v>534</v>
      </c>
      <c r="E183" s="22" t="s">
        <v>535</v>
      </c>
      <c r="F183" s="22" t="s">
        <v>123</v>
      </c>
      <c r="G183" s="22">
        <v>1309</v>
      </c>
      <c r="H183" s="22" t="s">
        <v>25</v>
      </c>
      <c r="I183" s="22" t="s">
        <v>465</v>
      </c>
      <c r="J183" s="22">
        <v>1</v>
      </c>
      <c r="K183" s="22">
        <v>1</v>
      </c>
      <c r="L183" s="22">
        <f>K183/J183</f>
        <v>1</v>
      </c>
      <c r="M183" s="22" t="s">
        <v>20</v>
      </c>
      <c r="N183" s="3">
        <v>0.00305</v>
      </c>
      <c r="O183" s="19" t="s">
        <v>125</v>
      </c>
      <c r="P183" s="19">
        <v>38</v>
      </c>
      <c r="Q183" s="19">
        <v>-5.57154639284161</v>
      </c>
      <c r="R183" s="19">
        <v>0.198704505747983</v>
      </c>
      <c r="S183" s="19">
        <v>0.0286747304955856</v>
      </c>
      <c r="T183" s="19">
        <v>2.28400046942907E-05</v>
      </c>
      <c r="U183" s="19">
        <v>59.9881089307441</v>
      </c>
      <c r="W183" s="24" t="s">
        <v>536</v>
      </c>
    </row>
    <row r="184" spans="1:23" s="23" customFormat="1" ht="51">
      <c r="A184" s="20" t="s">
        <v>537</v>
      </c>
      <c r="B184" s="35" t="s">
        <v>908</v>
      </c>
      <c r="C184" s="21">
        <f>100</f>
        <v>100</v>
      </c>
      <c r="D184" s="22">
        <v>4</v>
      </c>
      <c r="E184" s="22" t="s">
        <v>538</v>
      </c>
      <c r="F184" s="22" t="s">
        <v>539</v>
      </c>
      <c r="G184" s="22">
        <f>479+4249</f>
        <v>4728</v>
      </c>
      <c r="H184" s="22" t="s">
        <v>18</v>
      </c>
      <c r="I184" s="22" t="s">
        <v>540</v>
      </c>
      <c r="J184" s="22">
        <v>0.334</v>
      </c>
      <c r="K184" s="22">
        <v>0.0005</v>
      </c>
      <c r="L184" s="22">
        <f>K184/J184</f>
        <v>0.001497005988023952</v>
      </c>
      <c r="M184" s="22" t="s">
        <v>20</v>
      </c>
      <c r="N184" s="22"/>
      <c r="O184" s="19" t="s">
        <v>125</v>
      </c>
      <c r="P184" s="19">
        <v>26</v>
      </c>
      <c r="Q184" s="19">
        <v>-2.22348057949185</v>
      </c>
      <c r="R184" s="19">
        <v>0.520027737602411</v>
      </c>
      <c r="S184" s="19" t="s">
        <v>720</v>
      </c>
      <c r="T184" s="19" t="s">
        <v>720</v>
      </c>
      <c r="U184" s="19" t="s">
        <v>720</v>
      </c>
      <c r="W184" s="23" t="s">
        <v>541</v>
      </c>
    </row>
    <row r="185" spans="1:23" s="23" customFormat="1" ht="51">
      <c r="A185" s="20" t="s">
        <v>542</v>
      </c>
      <c r="B185" s="35" t="s">
        <v>909</v>
      </c>
      <c r="C185" s="21">
        <v>100</v>
      </c>
      <c r="D185" s="22">
        <v>2</v>
      </c>
      <c r="E185" s="22" t="s">
        <v>543</v>
      </c>
      <c r="F185" s="22" t="s">
        <v>429</v>
      </c>
      <c r="G185" s="22">
        <f>1299+523+651</f>
        <v>2473</v>
      </c>
      <c r="H185" s="22" t="s">
        <v>18</v>
      </c>
      <c r="I185" s="22" t="s">
        <v>74</v>
      </c>
      <c r="J185" s="22">
        <v>3.904</v>
      </c>
      <c r="K185" s="22">
        <v>15</v>
      </c>
      <c r="L185" s="22">
        <f>K185/J185</f>
        <v>3.8422131147540983</v>
      </c>
      <c r="M185" s="22" t="s">
        <v>30</v>
      </c>
      <c r="N185" s="22">
        <v>1</v>
      </c>
      <c r="O185" s="19" t="s">
        <v>125</v>
      </c>
      <c r="P185" s="19">
        <v>45</v>
      </c>
      <c r="Q185" s="19">
        <v>-5.77867269632136</v>
      </c>
      <c r="R185" s="19">
        <v>0.159319573510781</v>
      </c>
      <c r="S185" s="19">
        <v>0.175348876064653</v>
      </c>
      <c r="T185" s="19">
        <v>0.000715051821793884</v>
      </c>
      <c r="U185" s="19">
        <v>12.0529456224494</v>
      </c>
      <c r="W185" s="23" t="s">
        <v>544</v>
      </c>
    </row>
    <row r="186" spans="1:23" s="23" customFormat="1" ht="51">
      <c r="A186" s="20" t="s">
        <v>545</v>
      </c>
      <c r="B186" s="35" t="s">
        <v>910</v>
      </c>
      <c r="C186" s="21">
        <f>23/25*100</f>
        <v>92</v>
      </c>
      <c r="D186" s="22">
        <v>29</v>
      </c>
      <c r="E186" s="22" t="s">
        <v>546</v>
      </c>
      <c r="F186" s="22" t="s">
        <v>539</v>
      </c>
      <c r="G186" s="22">
        <f>467+804</f>
        <v>1271</v>
      </c>
      <c r="H186" s="22" t="s">
        <v>18</v>
      </c>
      <c r="I186" s="22" t="s">
        <v>155</v>
      </c>
      <c r="J186" s="22">
        <v>77.9</v>
      </c>
      <c r="K186" s="22">
        <v>18</v>
      </c>
      <c r="L186" s="22">
        <f>K186/J186</f>
        <v>0.2310654685494223</v>
      </c>
      <c r="M186" s="22" t="s">
        <v>30</v>
      </c>
      <c r="N186" s="22">
        <v>1</v>
      </c>
      <c r="O186" s="19" t="s">
        <v>125</v>
      </c>
      <c r="P186" s="19">
        <v>25</v>
      </c>
      <c r="Q186" s="19">
        <v>-0.913512314668938</v>
      </c>
      <c r="R186" s="19">
        <v>0.818768807013141</v>
      </c>
      <c r="S186" s="19">
        <v>0.284966758358969</v>
      </c>
      <c r="T186" s="19">
        <v>0.00353069797259214</v>
      </c>
      <c r="U186" s="19">
        <v>7.23914876251171</v>
      </c>
      <c r="W186" s="23" t="s">
        <v>547</v>
      </c>
    </row>
    <row r="187" spans="1:23" s="23" customFormat="1" ht="38.25">
      <c r="A187" s="20" t="s">
        <v>548</v>
      </c>
      <c r="B187" s="35" t="s">
        <v>911</v>
      </c>
      <c r="C187" s="21">
        <f>21/23*100</f>
        <v>91.30434782608695</v>
      </c>
      <c r="D187" s="22">
        <v>2</v>
      </c>
      <c r="E187" s="22" t="s">
        <v>122</v>
      </c>
      <c r="F187" s="22" t="s">
        <v>123</v>
      </c>
      <c r="G187" s="22">
        <v>708</v>
      </c>
      <c r="H187" s="22" t="s">
        <v>25</v>
      </c>
      <c r="I187" s="22" t="s">
        <v>19</v>
      </c>
      <c r="J187" s="22">
        <v>2.1</v>
      </c>
      <c r="K187" s="22">
        <f>1/G187</f>
        <v>0.0014124293785310734</v>
      </c>
      <c r="L187" s="22">
        <f>K187/J187</f>
        <v>0.0006725854183481302</v>
      </c>
      <c r="M187" s="22" t="s">
        <v>20</v>
      </c>
      <c r="N187" s="3">
        <v>0.00305</v>
      </c>
      <c r="O187" s="19" t="s">
        <v>125</v>
      </c>
      <c r="P187" s="19">
        <v>22</v>
      </c>
      <c r="Q187" s="19">
        <v>-0.907656723789056</v>
      </c>
      <c r="R187" s="19">
        <v>0.926157988446346</v>
      </c>
      <c r="S187" s="19">
        <v>0.224676262903354</v>
      </c>
      <c r="T187" s="19">
        <v>0.00252397115561086</v>
      </c>
      <c r="U187" s="19">
        <v>7.90750236603483</v>
      </c>
      <c r="W187" s="23" t="s">
        <v>549</v>
      </c>
    </row>
    <row r="188" spans="1:23" s="23" customFormat="1" ht="38.25">
      <c r="A188" s="20" t="s">
        <v>550</v>
      </c>
      <c r="B188" s="35" t="s">
        <v>912</v>
      </c>
      <c r="C188" s="21">
        <f>11/13*100</f>
        <v>84.61538461538461</v>
      </c>
      <c r="D188" s="22">
        <v>3</v>
      </c>
      <c r="E188" s="22" t="s">
        <v>122</v>
      </c>
      <c r="F188" s="22" t="s">
        <v>123</v>
      </c>
      <c r="G188" s="22">
        <v>707</v>
      </c>
      <c r="H188" s="22" t="s">
        <v>18</v>
      </c>
      <c r="I188" s="22" t="s">
        <v>162</v>
      </c>
      <c r="J188" s="22">
        <v>1</v>
      </c>
      <c r="K188" s="22">
        <v>1</v>
      </c>
      <c r="L188" s="22">
        <f>K188/J188</f>
        <v>1</v>
      </c>
      <c r="M188" s="22" t="s">
        <v>20</v>
      </c>
      <c r="N188" s="3">
        <v>0.00305</v>
      </c>
      <c r="O188" s="19" t="s">
        <v>125</v>
      </c>
      <c r="P188" s="19">
        <v>11</v>
      </c>
      <c r="Q188" s="19">
        <v>0.0420984571284117</v>
      </c>
      <c r="R188" s="19">
        <v>0.95295254196353</v>
      </c>
      <c r="S188" s="19">
        <v>0.571875</v>
      </c>
      <c r="T188" s="19">
        <v>0.036337890625</v>
      </c>
      <c r="U188" s="19">
        <v>2.90983606557377</v>
      </c>
      <c r="W188" s="23" t="s">
        <v>551</v>
      </c>
    </row>
    <row r="189" spans="1:23" s="23" customFormat="1" ht="38.25">
      <c r="A189" s="20" t="s">
        <v>552</v>
      </c>
      <c r="B189" s="35" t="s">
        <v>913</v>
      </c>
      <c r="C189" s="21">
        <v>100</v>
      </c>
      <c r="D189" s="22">
        <v>2</v>
      </c>
      <c r="E189" s="22" t="s">
        <v>553</v>
      </c>
      <c r="F189" s="22" t="s">
        <v>539</v>
      </c>
      <c r="G189" s="22">
        <v>2166</v>
      </c>
      <c r="H189" s="22" t="s">
        <v>18</v>
      </c>
      <c r="I189" s="22" t="s">
        <v>19</v>
      </c>
      <c r="J189" s="22">
        <v>14.7</v>
      </c>
      <c r="K189" s="22">
        <v>0.01</v>
      </c>
      <c r="L189" s="22">
        <f>K189/J189</f>
        <v>0.0006802721088435375</v>
      </c>
      <c r="M189" s="22" t="s">
        <v>20</v>
      </c>
      <c r="N189" s="22"/>
      <c r="O189" s="19" t="s">
        <v>125</v>
      </c>
      <c r="P189" s="19">
        <v>10</v>
      </c>
      <c r="Q189" s="19">
        <v>-0.736775592761544</v>
      </c>
      <c r="R189" s="19">
        <v>0.499937964401803</v>
      </c>
      <c r="S189" s="19" t="s">
        <v>720</v>
      </c>
      <c r="T189" s="19" t="s">
        <v>720</v>
      </c>
      <c r="U189" s="19" t="s">
        <v>720</v>
      </c>
      <c r="W189" s="23" t="s">
        <v>554</v>
      </c>
    </row>
    <row r="190" spans="1:23" s="23" customFormat="1" ht="38.25">
      <c r="A190" s="20" t="s">
        <v>555</v>
      </c>
      <c r="B190" s="35" t="s">
        <v>914</v>
      </c>
      <c r="C190" s="21">
        <f>39/42*100</f>
        <v>92.85714285714286</v>
      </c>
      <c r="D190" s="22">
        <v>5</v>
      </c>
      <c r="E190" s="22" t="s">
        <v>122</v>
      </c>
      <c r="F190" s="22" t="s">
        <v>123</v>
      </c>
      <c r="G190" s="22">
        <v>568</v>
      </c>
      <c r="H190" s="22" t="s">
        <v>18</v>
      </c>
      <c r="I190" s="22" t="s">
        <v>155</v>
      </c>
      <c r="J190" s="22">
        <v>42.5</v>
      </c>
      <c r="K190" s="22">
        <v>10</v>
      </c>
      <c r="L190" s="22">
        <f>K190/J190</f>
        <v>0.23529411764705882</v>
      </c>
      <c r="M190" s="22" t="s">
        <v>30</v>
      </c>
      <c r="N190" s="22">
        <v>1</v>
      </c>
      <c r="O190" s="19" t="s">
        <v>125</v>
      </c>
      <c r="P190" s="19">
        <v>48</v>
      </c>
      <c r="Q190" s="19">
        <v>-2.44979106784592</v>
      </c>
      <c r="R190" s="19">
        <v>0.491563336109608</v>
      </c>
      <c r="S190" s="19">
        <v>0.271339347268216</v>
      </c>
      <c r="T190" s="19">
        <v>0.00160054437773786</v>
      </c>
      <c r="U190" s="19">
        <v>11.2370634359732</v>
      </c>
      <c r="W190" s="23" t="s">
        <v>556</v>
      </c>
    </row>
    <row r="191" spans="1:23" s="23" customFormat="1" ht="51">
      <c r="A191" s="20" t="s">
        <v>557</v>
      </c>
      <c r="B191" s="35" t="s">
        <v>916</v>
      </c>
      <c r="C191" s="21">
        <v>100</v>
      </c>
      <c r="D191" s="22">
        <v>4</v>
      </c>
      <c r="E191" s="22" t="s">
        <v>558</v>
      </c>
      <c r="F191" s="22" t="s">
        <v>539</v>
      </c>
      <c r="G191" s="22">
        <v>620</v>
      </c>
      <c r="H191" s="22" t="s">
        <v>18</v>
      </c>
      <c r="I191" s="22" t="s">
        <v>19</v>
      </c>
      <c r="J191" s="22">
        <v>1</v>
      </c>
      <c r="K191" s="22">
        <v>1</v>
      </c>
      <c r="L191" s="22">
        <f>K191/J191</f>
        <v>1</v>
      </c>
      <c r="M191" s="22" t="s">
        <v>20</v>
      </c>
      <c r="N191" s="22"/>
      <c r="O191" s="19" t="s">
        <v>125</v>
      </c>
      <c r="P191" s="19">
        <v>6</v>
      </c>
      <c r="Q191" s="19">
        <v>-0.379296278491053</v>
      </c>
      <c r="R191" s="19">
        <v>0.490783531015217</v>
      </c>
      <c r="S191" s="19" t="s">
        <v>720</v>
      </c>
      <c r="T191" s="19" t="s">
        <v>720</v>
      </c>
      <c r="U191" s="19" t="s">
        <v>720</v>
      </c>
      <c r="W191" s="23" t="s">
        <v>559</v>
      </c>
    </row>
    <row r="192" spans="1:23" s="23" customFormat="1" ht="38.25">
      <c r="A192" s="20" t="s">
        <v>560</v>
      </c>
      <c r="B192" s="35" t="s">
        <v>917</v>
      </c>
      <c r="C192" s="21">
        <v>100</v>
      </c>
      <c r="D192" s="22">
        <v>2</v>
      </c>
      <c r="E192" s="22" t="s">
        <v>122</v>
      </c>
      <c r="F192" s="22" t="s">
        <v>123</v>
      </c>
      <c r="G192" s="22">
        <v>603</v>
      </c>
      <c r="H192" s="22" t="s">
        <v>18</v>
      </c>
      <c r="I192" s="22" t="s">
        <v>247</v>
      </c>
      <c r="J192" s="22">
        <v>3</v>
      </c>
      <c r="K192" s="22">
        <v>0.005</v>
      </c>
      <c r="L192" s="22">
        <f>K192/J192</f>
        <v>0.0016666666666666668</v>
      </c>
      <c r="M192" s="22" t="s">
        <v>20</v>
      </c>
      <c r="N192" s="3">
        <v>0.00305</v>
      </c>
      <c r="O192" s="19" t="s">
        <v>125</v>
      </c>
      <c r="P192" s="19">
        <v>15</v>
      </c>
      <c r="Q192" s="19">
        <v>-3.02676731610558</v>
      </c>
      <c r="R192" s="19">
        <v>0.217661364876404</v>
      </c>
      <c r="S192" s="19">
        <v>0.103807113524603</v>
      </c>
      <c r="T192" s="19">
        <v>0.000828916678331528</v>
      </c>
      <c r="U192" s="19">
        <v>13.4962031773821</v>
      </c>
      <c r="W192" s="23" t="s">
        <v>561</v>
      </c>
    </row>
    <row r="193" spans="1:23" s="23" customFormat="1" ht="38.25">
      <c r="A193" s="20" t="s">
        <v>562</v>
      </c>
      <c r="B193" s="34" t="s">
        <v>918</v>
      </c>
      <c r="C193" s="21">
        <f>6/7*100</f>
        <v>85.71428571428571</v>
      </c>
      <c r="D193" s="22">
        <v>4</v>
      </c>
      <c r="E193" s="22" t="s">
        <v>563</v>
      </c>
      <c r="F193" s="22" t="s">
        <v>539</v>
      </c>
      <c r="G193" s="22">
        <v>3125</v>
      </c>
      <c r="H193" s="22" t="s">
        <v>18</v>
      </c>
      <c r="I193" s="22" t="s">
        <v>116</v>
      </c>
      <c r="J193" s="22">
        <v>5.6</v>
      </c>
      <c r="K193" s="22">
        <v>0.001</v>
      </c>
      <c r="L193" s="22">
        <f>K193/J193</f>
        <v>0.0001785714285714286</v>
      </c>
      <c r="M193" s="22" t="s">
        <v>20</v>
      </c>
      <c r="N193" s="22"/>
      <c r="O193" s="19" t="s">
        <v>125</v>
      </c>
      <c r="P193" s="19">
        <v>4</v>
      </c>
      <c r="Q193" s="19">
        <v>0.22598685856006</v>
      </c>
      <c r="R193" s="19">
        <v>0.103238815374921</v>
      </c>
      <c r="S193" s="19" t="s">
        <v>720</v>
      </c>
      <c r="T193" s="19" t="s">
        <v>720</v>
      </c>
      <c r="U193" s="19" t="s">
        <v>720</v>
      </c>
      <c r="W193" s="23" t="s">
        <v>564</v>
      </c>
    </row>
    <row r="194" spans="1:23" s="23" customFormat="1" ht="51">
      <c r="A194" s="20" t="s">
        <v>565</v>
      </c>
      <c r="B194" s="35" t="s">
        <v>919</v>
      </c>
      <c r="C194" s="21">
        <v>100</v>
      </c>
      <c r="D194" s="22">
        <v>3</v>
      </c>
      <c r="E194" s="22" t="s">
        <v>546</v>
      </c>
      <c r="F194" s="22" t="s">
        <v>539</v>
      </c>
      <c r="G194" s="22">
        <f>607+654</f>
        <v>1261</v>
      </c>
      <c r="H194" s="22" t="s">
        <v>18</v>
      </c>
      <c r="I194" s="22" t="s">
        <v>566</v>
      </c>
      <c r="J194" s="22">
        <v>13.8</v>
      </c>
      <c r="K194" s="22">
        <v>0.005</v>
      </c>
      <c r="L194" s="22">
        <f>K194/J194</f>
        <v>0.00036231884057971015</v>
      </c>
      <c r="M194" s="22" t="s">
        <v>20</v>
      </c>
      <c r="N194" s="22"/>
      <c r="O194" s="19" t="s">
        <v>125</v>
      </c>
      <c r="P194" s="19">
        <v>7</v>
      </c>
      <c r="Q194" s="19">
        <v>-2.44438508588173</v>
      </c>
      <c r="R194" s="19">
        <v>0.109770260494935</v>
      </c>
      <c r="S194" s="19" t="s">
        <v>720</v>
      </c>
      <c r="T194" s="19" t="s">
        <v>720</v>
      </c>
      <c r="U194" s="19" t="s">
        <v>720</v>
      </c>
      <c r="W194" s="23" t="s">
        <v>567</v>
      </c>
    </row>
    <row r="195" spans="1:23" s="23" customFormat="1" ht="51">
      <c r="A195" s="1" t="s">
        <v>568</v>
      </c>
      <c r="B195" s="35" t="s">
        <v>920</v>
      </c>
      <c r="C195" s="21">
        <v>100</v>
      </c>
      <c r="D195" s="22">
        <v>2</v>
      </c>
      <c r="E195" s="22" t="s">
        <v>122</v>
      </c>
      <c r="F195" s="22" t="s">
        <v>123</v>
      </c>
      <c r="G195" s="22">
        <v>1158</v>
      </c>
      <c r="H195" s="22" t="s">
        <v>18</v>
      </c>
      <c r="I195" s="22" t="s">
        <v>189</v>
      </c>
      <c r="J195" s="22">
        <v>1.9</v>
      </c>
      <c r="K195" s="22">
        <v>0.001</v>
      </c>
      <c r="L195" s="22">
        <f>K195/J195</f>
        <v>0.0005263157894736842</v>
      </c>
      <c r="M195" s="22" t="s">
        <v>20</v>
      </c>
      <c r="N195" s="3">
        <v>0.00305</v>
      </c>
      <c r="O195" s="19" t="s">
        <v>125</v>
      </c>
      <c r="P195" s="19">
        <v>40</v>
      </c>
      <c r="Q195" s="19">
        <v>2.38792758674223</v>
      </c>
      <c r="R195" s="19">
        <v>1.50496558003123</v>
      </c>
      <c r="S195" s="19">
        <v>0.665573700391325</v>
      </c>
      <c r="T195" s="19">
        <v>0.0116575881750684</v>
      </c>
      <c r="U195" s="19">
        <v>6.69284582496584</v>
      </c>
      <c r="W195" s="23" t="s">
        <v>569</v>
      </c>
    </row>
    <row r="196" spans="1:23" s="23" customFormat="1" ht="51">
      <c r="A196" s="1" t="s">
        <v>570</v>
      </c>
      <c r="B196" s="35" t="s">
        <v>921</v>
      </c>
      <c r="C196" s="21">
        <v>100</v>
      </c>
      <c r="D196" s="22">
        <v>4</v>
      </c>
      <c r="E196" s="22" t="s">
        <v>571</v>
      </c>
      <c r="F196" s="22" t="s">
        <v>539</v>
      </c>
      <c r="G196" s="22">
        <f>1503+587</f>
        <v>2090</v>
      </c>
      <c r="H196" s="22" t="s">
        <v>18</v>
      </c>
      <c r="I196" s="22"/>
      <c r="J196" s="22">
        <v>10.8</v>
      </c>
      <c r="K196" s="22">
        <v>0.005</v>
      </c>
      <c r="L196" s="22">
        <f>K196/J196</f>
        <v>0.0004629629629629629</v>
      </c>
      <c r="M196" s="22" t="s">
        <v>20</v>
      </c>
      <c r="N196" s="22"/>
      <c r="O196" s="19" t="s">
        <v>125</v>
      </c>
      <c r="P196" s="19">
        <v>10</v>
      </c>
      <c r="Q196" s="19">
        <v>-2.16632102033293</v>
      </c>
      <c r="R196" s="19">
        <v>0.32412300868438</v>
      </c>
      <c r="S196" s="19" t="s">
        <v>720</v>
      </c>
      <c r="T196" s="19" t="s">
        <v>720</v>
      </c>
      <c r="U196" s="19" t="s">
        <v>720</v>
      </c>
      <c r="W196" s="23" t="s">
        <v>572</v>
      </c>
    </row>
    <row r="197" spans="1:23" s="23" customFormat="1" ht="51">
      <c r="A197" s="20" t="s">
        <v>573</v>
      </c>
      <c r="B197" s="35" t="s">
        <v>921</v>
      </c>
      <c r="C197" s="21">
        <f>10/13*100</f>
        <v>76.92307692307693</v>
      </c>
      <c r="D197" s="22">
        <v>4</v>
      </c>
      <c r="E197" s="22" t="s">
        <v>571</v>
      </c>
      <c r="F197" s="22" t="s">
        <v>539</v>
      </c>
      <c r="G197" s="22">
        <f>1503+587</f>
        <v>2090</v>
      </c>
      <c r="H197" s="22" t="s">
        <v>18</v>
      </c>
      <c r="I197" s="22"/>
      <c r="J197" s="22">
        <v>0.428</v>
      </c>
      <c r="K197" s="22">
        <v>0.005</v>
      </c>
      <c r="L197" s="22">
        <f>K197/J197</f>
        <v>0.011682242990654207</v>
      </c>
      <c r="M197" s="22" t="s">
        <v>20</v>
      </c>
      <c r="N197" s="22"/>
      <c r="O197" s="19" t="s">
        <v>125</v>
      </c>
      <c r="P197" s="19">
        <v>8</v>
      </c>
      <c r="Q197" s="19">
        <v>2.11892564435486</v>
      </c>
      <c r="R197" s="19">
        <v>1.37667562625525</v>
      </c>
      <c r="S197" s="19" t="s">
        <v>720</v>
      </c>
      <c r="T197" s="19" t="s">
        <v>720</v>
      </c>
      <c r="U197" s="19" t="s">
        <v>720</v>
      </c>
      <c r="W197" s="23" t="s">
        <v>574</v>
      </c>
    </row>
    <row r="198" spans="1:23" s="23" customFormat="1" ht="51">
      <c r="A198" s="1" t="s">
        <v>575</v>
      </c>
      <c r="B198" s="35" t="s">
        <v>922</v>
      </c>
      <c r="C198" s="21">
        <v>100</v>
      </c>
      <c r="D198" s="22">
        <v>1</v>
      </c>
      <c r="E198" s="22" t="s">
        <v>576</v>
      </c>
      <c r="F198" s="22" t="s">
        <v>123</v>
      </c>
      <c r="G198" s="22">
        <v>1133</v>
      </c>
      <c r="H198" s="22" t="s">
        <v>25</v>
      </c>
      <c r="I198" s="22" t="s">
        <v>247</v>
      </c>
      <c r="J198" s="22">
        <v>18.5</v>
      </c>
      <c r="K198" s="22">
        <v>0.01</v>
      </c>
      <c r="L198" s="22">
        <f>K198/J198</f>
        <v>0.0005405405405405405</v>
      </c>
      <c r="M198" s="22" t="s">
        <v>20</v>
      </c>
      <c r="N198" s="22"/>
      <c r="O198" s="19" t="s">
        <v>125</v>
      </c>
      <c r="P198" s="19">
        <v>35</v>
      </c>
      <c r="Q198" s="19">
        <v>-2.87378610982347</v>
      </c>
      <c r="R198" s="19">
        <v>0.269622050590713</v>
      </c>
      <c r="S198" s="19" t="s">
        <v>720</v>
      </c>
      <c r="T198" s="19" t="s">
        <v>720</v>
      </c>
      <c r="U198" s="19" t="s">
        <v>720</v>
      </c>
      <c r="W198" s="23" t="s">
        <v>577</v>
      </c>
    </row>
    <row r="199" spans="1:23" s="23" customFormat="1" ht="51">
      <c r="A199" s="9" t="s">
        <v>578</v>
      </c>
      <c r="B199" s="36" t="s">
        <v>923</v>
      </c>
      <c r="C199" s="26">
        <v>100</v>
      </c>
      <c r="D199" s="27">
        <v>2</v>
      </c>
      <c r="E199" s="27" t="s">
        <v>122</v>
      </c>
      <c r="F199" s="27" t="s">
        <v>123</v>
      </c>
      <c r="G199" s="27">
        <v>649</v>
      </c>
      <c r="H199" s="27" t="s">
        <v>54</v>
      </c>
      <c r="I199" s="27" t="s">
        <v>87</v>
      </c>
      <c r="J199" s="27" t="s">
        <v>34</v>
      </c>
      <c r="K199" s="27"/>
      <c r="L199" s="27"/>
      <c r="M199" s="27"/>
      <c r="N199" s="22"/>
      <c r="O199" s="25" t="s">
        <v>125</v>
      </c>
      <c r="P199" s="19">
        <v>16</v>
      </c>
      <c r="Q199" s="19">
        <v>0.532242248832292</v>
      </c>
      <c r="R199" s="19">
        <v>0.295056141907285</v>
      </c>
      <c r="S199" s="19" t="s">
        <v>720</v>
      </c>
      <c r="T199" s="19" t="s">
        <v>720</v>
      </c>
      <c r="U199" s="19" t="s">
        <v>720</v>
      </c>
      <c r="W199" s="23" t="s">
        <v>579</v>
      </c>
    </row>
    <row r="200" spans="1:23" s="23" customFormat="1" ht="38.25">
      <c r="A200" s="9" t="s">
        <v>580</v>
      </c>
      <c r="B200" s="36" t="s">
        <v>924</v>
      </c>
      <c r="C200" s="26">
        <f>17/23*100</f>
        <v>73.91304347826086</v>
      </c>
      <c r="D200" s="27">
        <v>3</v>
      </c>
      <c r="E200" s="27" t="s">
        <v>581</v>
      </c>
      <c r="F200" s="27" t="s">
        <v>539</v>
      </c>
      <c r="G200" s="27">
        <f>649+907</f>
        <v>1556</v>
      </c>
      <c r="H200" s="27" t="s">
        <v>18</v>
      </c>
      <c r="I200" s="27" t="s">
        <v>116</v>
      </c>
      <c r="J200" s="27">
        <v>4.5</v>
      </c>
      <c r="K200" s="27">
        <v>0.005</v>
      </c>
      <c r="L200" s="27">
        <f>K200/J200</f>
        <v>0.0011111111111111111</v>
      </c>
      <c r="M200" s="27" t="s">
        <v>20</v>
      </c>
      <c r="N200" s="22"/>
      <c r="O200" s="25" t="s">
        <v>125</v>
      </c>
      <c r="P200" s="19">
        <v>19</v>
      </c>
      <c r="Q200" s="19">
        <v>-0.369696836407421</v>
      </c>
      <c r="R200" s="19">
        <v>0.804679244638862</v>
      </c>
      <c r="S200" s="19" t="s">
        <v>720</v>
      </c>
      <c r="T200" s="19" t="s">
        <v>720</v>
      </c>
      <c r="U200" s="19" t="s">
        <v>720</v>
      </c>
      <c r="W200" s="23" t="s">
        <v>582</v>
      </c>
    </row>
    <row r="201" spans="1:23" s="23" customFormat="1" ht="51">
      <c r="A201" s="9" t="s">
        <v>583</v>
      </c>
      <c r="B201" s="36" t="s">
        <v>925</v>
      </c>
      <c r="C201" s="26">
        <f>25/26*100</f>
        <v>96.15384615384616</v>
      </c>
      <c r="D201" s="27">
        <v>5</v>
      </c>
      <c r="E201" s="27" t="s">
        <v>584</v>
      </c>
      <c r="F201" s="27" t="s">
        <v>429</v>
      </c>
      <c r="G201" s="27">
        <f>821+421+551+458</f>
        <v>2251</v>
      </c>
      <c r="H201" s="27" t="s">
        <v>25</v>
      </c>
      <c r="I201" s="27" t="s">
        <v>155</v>
      </c>
      <c r="J201" s="27">
        <v>9</v>
      </c>
      <c r="K201" s="27">
        <v>0.01</v>
      </c>
      <c r="L201" s="27">
        <f>K201/J201</f>
        <v>0.0011111111111111111</v>
      </c>
      <c r="M201" s="27" t="s">
        <v>20</v>
      </c>
      <c r="N201" s="22"/>
      <c r="O201" s="25" t="s">
        <v>125</v>
      </c>
      <c r="P201" s="19">
        <v>24</v>
      </c>
      <c r="Q201" s="19">
        <v>-3.70841432017314</v>
      </c>
      <c r="R201" s="19">
        <v>0.377770866324062</v>
      </c>
      <c r="S201" s="19" t="s">
        <v>720</v>
      </c>
      <c r="T201" s="19" t="s">
        <v>720</v>
      </c>
      <c r="U201" s="19" t="s">
        <v>720</v>
      </c>
      <c r="W201" s="23" t="s">
        <v>585</v>
      </c>
    </row>
    <row r="202" spans="1:23" s="23" customFormat="1" ht="51">
      <c r="A202" s="28" t="s">
        <v>586</v>
      </c>
      <c r="B202" s="36" t="s">
        <v>915</v>
      </c>
      <c r="C202" s="21">
        <f>17/18*100</f>
        <v>94.44444444444444</v>
      </c>
      <c r="D202" s="27" t="s">
        <v>587</v>
      </c>
      <c r="E202" s="27" t="s">
        <v>122</v>
      </c>
      <c r="F202" s="27" t="s">
        <v>123</v>
      </c>
      <c r="G202" s="22">
        <v>822</v>
      </c>
      <c r="H202" s="27" t="s">
        <v>18</v>
      </c>
      <c r="I202" s="27" t="s">
        <v>19</v>
      </c>
      <c r="J202" s="27">
        <v>1.7</v>
      </c>
      <c r="K202" s="27">
        <f>10/G200</f>
        <v>0.006426735218508998</v>
      </c>
      <c r="L202" s="27">
        <f>K202/J202</f>
        <v>0.003780432481475881</v>
      </c>
      <c r="M202" s="27" t="s">
        <v>20</v>
      </c>
      <c r="N202" s="3">
        <v>0.00305</v>
      </c>
      <c r="O202" s="25" t="s">
        <v>125</v>
      </c>
      <c r="P202" s="19">
        <v>17</v>
      </c>
      <c r="Q202" s="19">
        <v>3.18925161084919</v>
      </c>
      <c r="R202" s="19">
        <v>1.81037945198223</v>
      </c>
      <c r="S202" s="19">
        <v>0.153066138071578</v>
      </c>
      <c r="T202" s="19">
        <v>0.0015619495082765</v>
      </c>
      <c r="U202" s="19">
        <v>26.0666467377049</v>
      </c>
      <c r="W202" s="23" t="s">
        <v>588</v>
      </c>
    </row>
    <row r="203" spans="1:23" s="23" customFormat="1" ht="51">
      <c r="A203" s="20" t="s">
        <v>589</v>
      </c>
      <c r="B203" s="37" t="s">
        <v>731</v>
      </c>
      <c r="C203" s="21">
        <v>100</v>
      </c>
      <c r="D203" s="22">
        <v>3</v>
      </c>
      <c r="E203" s="22" t="s">
        <v>590</v>
      </c>
      <c r="F203" s="22" t="s">
        <v>24</v>
      </c>
      <c r="G203" s="22">
        <v>1862</v>
      </c>
      <c r="H203" s="22" t="s">
        <v>18</v>
      </c>
      <c r="I203" s="22" t="s">
        <v>155</v>
      </c>
      <c r="J203" s="22">
        <v>30.3</v>
      </c>
      <c r="K203" s="22">
        <v>0.1</v>
      </c>
      <c r="L203" s="22">
        <f>K203/J203</f>
        <v>0.0033003300330033004</v>
      </c>
      <c r="M203" s="22" t="s">
        <v>20</v>
      </c>
      <c r="N203" s="22"/>
      <c r="O203" s="19" t="s">
        <v>21</v>
      </c>
      <c r="P203" s="19">
        <v>22</v>
      </c>
      <c r="Q203" s="19">
        <v>-2.225682251983</v>
      </c>
      <c r="R203" s="19">
        <v>0.442422758995976</v>
      </c>
      <c r="S203" s="19" t="s">
        <v>720</v>
      </c>
      <c r="T203" s="19" t="s">
        <v>720</v>
      </c>
      <c r="U203" s="19" t="s">
        <v>720</v>
      </c>
      <c r="W203" s="23" t="s">
        <v>591</v>
      </c>
    </row>
    <row r="204" spans="1:23" s="23" customFormat="1" ht="51">
      <c r="A204" s="20" t="s">
        <v>592</v>
      </c>
      <c r="B204" s="35" t="s">
        <v>926</v>
      </c>
      <c r="C204" s="21">
        <v>100</v>
      </c>
      <c r="D204" s="22">
        <v>1</v>
      </c>
      <c r="E204" s="22" t="s">
        <v>46</v>
      </c>
      <c r="F204" s="22" t="s">
        <v>17</v>
      </c>
      <c r="G204" s="22">
        <v>868</v>
      </c>
      <c r="H204" s="22" t="s">
        <v>18</v>
      </c>
      <c r="I204" s="22" t="s">
        <v>19</v>
      </c>
      <c r="J204" s="22">
        <v>10.8</v>
      </c>
      <c r="K204" s="22">
        <v>0.05</v>
      </c>
      <c r="L204" s="22">
        <f>K204/J204</f>
        <v>0.004629629629629629</v>
      </c>
      <c r="M204" s="22" t="s">
        <v>20</v>
      </c>
      <c r="N204" s="22">
        <v>0.0115</v>
      </c>
      <c r="O204" s="19" t="s">
        <v>21</v>
      </c>
      <c r="P204" s="19">
        <v>11</v>
      </c>
      <c r="Q204" s="19">
        <v>-2.34980368328535</v>
      </c>
      <c r="R204" s="19">
        <v>0.0513559256779715</v>
      </c>
      <c r="S204" s="19">
        <v>0.102503430589271</v>
      </c>
      <c r="T204" s="19">
        <v>0.00116743925361884</v>
      </c>
      <c r="U204" s="19">
        <v>14.6550434429347</v>
      </c>
      <c r="W204" s="23" t="s">
        <v>593</v>
      </c>
    </row>
    <row r="205" spans="1:23" s="23" customFormat="1" ht="38.25">
      <c r="A205" s="20" t="s">
        <v>594</v>
      </c>
      <c r="B205" s="35" t="s">
        <v>595</v>
      </c>
      <c r="C205" s="21">
        <f>40/51*100</f>
        <v>78.43137254901961</v>
      </c>
      <c r="D205" s="22">
        <v>1</v>
      </c>
      <c r="E205" s="22" t="s">
        <v>43</v>
      </c>
      <c r="F205" s="22" t="s">
        <v>17</v>
      </c>
      <c r="G205" s="22">
        <v>1068</v>
      </c>
      <c r="H205" s="22" t="s">
        <v>25</v>
      </c>
      <c r="I205" s="22" t="s">
        <v>19</v>
      </c>
      <c r="J205" s="22">
        <v>17.8</v>
      </c>
      <c r="K205" s="22">
        <v>0.066</v>
      </c>
      <c r="L205" s="22">
        <f>K205/J205</f>
        <v>0.003707865168539326</v>
      </c>
      <c r="M205" s="22" t="s">
        <v>20</v>
      </c>
      <c r="N205" s="22">
        <v>0.0115</v>
      </c>
      <c r="O205" s="19" t="s">
        <v>21</v>
      </c>
      <c r="P205" s="19">
        <v>35</v>
      </c>
      <c r="Q205" s="19">
        <v>-5.30928511484807</v>
      </c>
      <c r="R205" s="19">
        <v>0.204350980639941</v>
      </c>
      <c r="S205" s="19">
        <v>0.208774371651303</v>
      </c>
      <c r="T205" s="19">
        <v>0.00132081025025444</v>
      </c>
      <c r="U205" s="19">
        <v>7.2126412665591</v>
      </c>
      <c r="W205" s="23" t="s">
        <v>596</v>
      </c>
    </row>
    <row r="206" spans="1:23" s="23" customFormat="1" ht="38.25">
      <c r="A206" s="20" t="s">
        <v>597</v>
      </c>
      <c r="B206" s="35" t="s">
        <v>598</v>
      </c>
      <c r="C206" s="21">
        <f>9/10*100</f>
        <v>90</v>
      </c>
      <c r="D206" s="22">
        <v>3</v>
      </c>
      <c r="E206" s="22" t="s">
        <v>599</v>
      </c>
      <c r="F206" s="22" t="s">
        <v>17</v>
      </c>
      <c r="G206" s="22">
        <v>3661</v>
      </c>
      <c r="H206" s="22" t="s">
        <v>18</v>
      </c>
      <c r="I206" s="22" t="s">
        <v>19</v>
      </c>
      <c r="J206" s="22">
        <v>106.2</v>
      </c>
      <c r="K206" s="22">
        <v>3</v>
      </c>
      <c r="L206" s="22">
        <f>K206/J206</f>
        <v>0.02824858757062147</v>
      </c>
      <c r="M206" s="22" t="s">
        <v>30</v>
      </c>
      <c r="N206" s="22">
        <v>1</v>
      </c>
      <c r="O206" s="19" t="s">
        <v>21</v>
      </c>
      <c r="P206" s="19">
        <v>9</v>
      </c>
      <c r="Q206" s="19">
        <v>0.321827553240666</v>
      </c>
      <c r="R206" s="19">
        <v>1.05629556909883</v>
      </c>
      <c r="S206" s="19">
        <v>0.905040161553834</v>
      </c>
      <c r="T206" s="19">
        <v>0.117013956289341</v>
      </c>
      <c r="U206" s="19">
        <v>1.8531073728</v>
      </c>
      <c r="W206" s="23" t="s">
        <v>600</v>
      </c>
    </row>
    <row r="207" spans="1:23" s="23" customFormat="1" ht="51">
      <c r="A207" s="20" t="s">
        <v>601</v>
      </c>
      <c r="B207" s="35" t="s">
        <v>602</v>
      </c>
      <c r="C207" s="21">
        <v>100</v>
      </c>
      <c r="D207" s="22">
        <v>1</v>
      </c>
      <c r="E207" s="22" t="s">
        <v>603</v>
      </c>
      <c r="F207" s="22" t="s">
        <v>123</v>
      </c>
      <c r="G207" s="22">
        <v>18853</v>
      </c>
      <c r="H207" s="22" t="s">
        <v>18</v>
      </c>
      <c r="I207" s="22" t="s">
        <v>19</v>
      </c>
      <c r="J207" s="22">
        <v>10.2</v>
      </c>
      <c r="K207" s="22">
        <v>0.005</v>
      </c>
      <c r="L207" s="22">
        <f>K207/J207</f>
        <v>0.0004901960784313725</v>
      </c>
      <c r="M207" s="22" t="s">
        <v>20</v>
      </c>
      <c r="N207" s="22"/>
      <c r="O207" s="19" t="s">
        <v>21</v>
      </c>
      <c r="P207" s="19">
        <v>38</v>
      </c>
      <c r="Q207" s="19">
        <v>-2.37271496698508</v>
      </c>
      <c r="R207" s="19">
        <v>0.306271420914881</v>
      </c>
      <c r="S207" s="19" t="s">
        <v>720</v>
      </c>
      <c r="T207" s="19" t="s">
        <v>720</v>
      </c>
      <c r="U207" s="19" t="s">
        <v>720</v>
      </c>
      <c r="W207" s="23" t="s">
        <v>604</v>
      </c>
    </row>
    <row r="208" spans="1:23" s="23" customFormat="1" ht="38.25">
      <c r="A208" s="20" t="s">
        <v>605</v>
      </c>
      <c r="B208" s="35" t="s">
        <v>927</v>
      </c>
      <c r="C208" s="21">
        <f>24/27*100</f>
        <v>88.88888888888889</v>
      </c>
      <c r="D208" s="22">
        <v>2</v>
      </c>
      <c r="E208" s="22" t="s">
        <v>606</v>
      </c>
      <c r="F208" s="22" t="s">
        <v>17</v>
      </c>
      <c r="G208" s="22">
        <v>3639</v>
      </c>
      <c r="H208" s="22" t="s">
        <v>18</v>
      </c>
      <c r="I208" s="22" t="s">
        <v>155</v>
      </c>
      <c r="J208" s="22">
        <v>110.8</v>
      </c>
      <c r="K208" s="22">
        <v>0.05</v>
      </c>
      <c r="L208" s="22">
        <f>K208/J208</f>
        <v>0.0004512635379061372</v>
      </c>
      <c r="M208" s="22" t="s">
        <v>20</v>
      </c>
      <c r="N208" s="22">
        <v>0.0115</v>
      </c>
      <c r="O208" s="19" t="s">
        <v>21</v>
      </c>
      <c r="P208" s="19">
        <v>26</v>
      </c>
      <c r="Q208" s="19">
        <v>-4.18258614873219</v>
      </c>
      <c r="R208" s="19">
        <v>0.267322157025237</v>
      </c>
      <c r="S208" s="19">
        <v>0.313600663336849</v>
      </c>
      <c r="T208" s="19">
        <v>0.004097724001888</v>
      </c>
      <c r="U208" s="19">
        <v>4.49228790163043</v>
      </c>
      <c r="W208" s="23" t="s">
        <v>607</v>
      </c>
    </row>
    <row r="209" spans="1:23" s="23" customFormat="1" ht="38.25">
      <c r="A209" s="20" t="s">
        <v>608</v>
      </c>
      <c r="B209" s="35" t="s">
        <v>942</v>
      </c>
      <c r="C209" s="21">
        <v>100</v>
      </c>
      <c r="D209" s="22">
        <v>2</v>
      </c>
      <c r="E209" s="22" t="s">
        <v>609</v>
      </c>
      <c r="F209" s="22" t="s">
        <v>17</v>
      </c>
      <c r="G209" s="22"/>
      <c r="H209" s="22" t="s">
        <v>18</v>
      </c>
      <c r="I209" s="22"/>
      <c r="J209" s="22">
        <v>16.4</v>
      </c>
      <c r="K209" s="22">
        <v>0.01</v>
      </c>
      <c r="L209" s="22">
        <f>K209/J209</f>
        <v>0.0006097560975609757</v>
      </c>
      <c r="M209" s="22" t="s">
        <v>20</v>
      </c>
      <c r="N209" s="22">
        <v>0.0115</v>
      </c>
      <c r="O209" s="19" t="s">
        <v>21</v>
      </c>
      <c r="P209" s="19">
        <v>13</v>
      </c>
      <c r="Q209" s="19">
        <v>-2.56580299760102</v>
      </c>
      <c r="R209" s="19">
        <v>0.189190999328903</v>
      </c>
      <c r="S209" s="19">
        <v>0.378576702908038</v>
      </c>
      <c r="T209" s="19">
        <v>0.013029119998611</v>
      </c>
      <c r="U209" s="19">
        <v>3.54188702608695</v>
      </c>
      <c r="W209" s="23" t="s">
        <v>610</v>
      </c>
    </row>
    <row r="210" spans="1:23" s="23" customFormat="1" ht="38.25">
      <c r="A210" s="20" t="s">
        <v>611</v>
      </c>
      <c r="B210" s="35" t="s">
        <v>943</v>
      </c>
      <c r="C210" s="21">
        <v>100</v>
      </c>
      <c r="D210" s="22">
        <v>1</v>
      </c>
      <c r="E210" s="22" t="s">
        <v>43</v>
      </c>
      <c r="F210" s="22" t="s">
        <v>17</v>
      </c>
      <c r="G210" s="22">
        <v>1000</v>
      </c>
      <c r="H210" s="22" t="s">
        <v>54</v>
      </c>
      <c r="I210" s="22" t="s">
        <v>162</v>
      </c>
      <c r="J210" s="22">
        <v>17</v>
      </c>
      <c r="K210" s="22">
        <v>0.01</v>
      </c>
      <c r="L210" s="22">
        <f>K210/J210</f>
        <v>0.0005882352941176471</v>
      </c>
      <c r="M210" s="22" t="s">
        <v>20</v>
      </c>
      <c r="N210" s="22">
        <v>0.0115</v>
      </c>
      <c r="O210" s="19" t="s">
        <v>21</v>
      </c>
      <c r="P210" s="19">
        <v>8</v>
      </c>
      <c r="Q210" s="19">
        <v>-3.27409584613318</v>
      </c>
      <c r="R210" s="19">
        <v>0.00840686545256016</v>
      </c>
      <c r="S210" s="19">
        <v>0.520639408122633</v>
      </c>
      <c r="T210" s="19">
        <v>0.045177565548381</v>
      </c>
      <c r="U210" s="19">
        <v>1.71355413043478</v>
      </c>
      <c r="W210" s="23" t="s">
        <v>612</v>
      </c>
    </row>
    <row r="211" spans="1:23" s="23" customFormat="1" ht="38.25">
      <c r="A211" s="20" t="s">
        <v>613</v>
      </c>
      <c r="B211" s="35" t="s">
        <v>733</v>
      </c>
      <c r="C211" s="21">
        <v>100</v>
      </c>
      <c r="D211" s="22">
        <v>2</v>
      </c>
      <c r="E211" s="22" t="s">
        <v>250</v>
      </c>
      <c r="F211" s="22" t="s">
        <v>17</v>
      </c>
      <c r="G211" s="22">
        <v>1180</v>
      </c>
      <c r="H211" s="22" t="s">
        <v>18</v>
      </c>
      <c r="I211" s="22" t="s">
        <v>234</v>
      </c>
      <c r="J211" s="22">
        <v>1.182</v>
      </c>
      <c r="K211" s="22">
        <v>0.0107</v>
      </c>
      <c r="L211" s="22">
        <f>K211/J211</f>
        <v>0.009052453468697123</v>
      </c>
      <c r="M211" s="22" t="s">
        <v>20</v>
      </c>
      <c r="N211" s="22">
        <v>0.0115</v>
      </c>
      <c r="O211" s="19" t="s">
        <v>21</v>
      </c>
      <c r="P211" s="19">
        <v>7</v>
      </c>
      <c r="Q211" s="19">
        <v>0.0912655697040035</v>
      </c>
      <c r="R211" s="19">
        <v>0.0554718172036266</v>
      </c>
      <c r="S211" s="19">
        <v>0.667914772634174</v>
      </c>
      <c r="T211" s="19">
        <v>0.0892220287005922</v>
      </c>
      <c r="U211" s="19">
        <v>2.13588692685869</v>
      </c>
      <c r="W211" s="23" t="s">
        <v>614</v>
      </c>
    </row>
    <row r="212" spans="1:23" s="23" customFormat="1" ht="51">
      <c r="A212" s="20" t="s">
        <v>615</v>
      </c>
      <c r="B212" s="35" t="s">
        <v>928</v>
      </c>
      <c r="C212" s="21">
        <v>100</v>
      </c>
      <c r="D212" s="22">
        <v>2</v>
      </c>
      <c r="E212" s="22" t="s">
        <v>616</v>
      </c>
      <c r="F212" s="22" t="s">
        <v>539</v>
      </c>
      <c r="G212" s="22">
        <v>3505</v>
      </c>
      <c r="H212" s="22" t="s">
        <v>25</v>
      </c>
      <c r="I212" s="22" t="s">
        <v>19</v>
      </c>
      <c r="J212" s="22">
        <v>38.8</v>
      </c>
      <c r="K212" s="22">
        <v>10</v>
      </c>
      <c r="L212" s="22">
        <f>K212/J212</f>
        <v>0.2577319587628866</v>
      </c>
      <c r="M212" s="22" t="s">
        <v>30</v>
      </c>
      <c r="N212" s="22">
        <v>1</v>
      </c>
      <c r="O212" s="19" t="s">
        <v>125</v>
      </c>
      <c r="P212" s="19">
        <v>39</v>
      </c>
      <c r="Q212" s="19">
        <v>-3.51581665691747</v>
      </c>
      <c r="R212" s="19">
        <v>0.284614433665785</v>
      </c>
      <c r="S212" s="19">
        <v>0.211771647540824</v>
      </c>
      <c r="T212" s="19">
        <v>0.00121208731627446</v>
      </c>
      <c r="U212" s="19">
        <v>10.7778493799041</v>
      </c>
      <c r="W212" s="23" t="s">
        <v>617</v>
      </c>
    </row>
    <row r="213" spans="1:23" s="23" customFormat="1" ht="51">
      <c r="A213" s="1" t="s">
        <v>618</v>
      </c>
      <c r="B213" s="35" t="s">
        <v>732</v>
      </c>
      <c r="C213" s="21">
        <v>100</v>
      </c>
      <c r="D213" s="22">
        <v>3</v>
      </c>
      <c r="E213" s="22" t="s">
        <v>619</v>
      </c>
      <c r="F213" s="22" t="s">
        <v>17</v>
      </c>
      <c r="G213" s="22">
        <v>1480</v>
      </c>
      <c r="H213" s="22" t="s">
        <v>54</v>
      </c>
      <c r="I213" s="22" t="s">
        <v>87</v>
      </c>
      <c r="J213" s="22">
        <v>0.18</v>
      </c>
      <c r="K213" s="22">
        <f>5/G213</f>
        <v>0.0033783783783783786</v>
      </c>
      <c r="L213" s="22">
        <f>K213/J213</f>
        <v>0.01876876876876877</v>
      </c>
      <c r="M213" s="22" t="s">
        <v>20</v>
      </c>
      <c r="N213" s="22">
        <v>0.0115</v>
      </c>
      <c r="O213" s="19" t="s">
        <v>40</v>
      </c>
      <c r="P213" s="19">
        <v>93</v>
      </c>
      <c r="Q213" s="19">
        <v>2.00411600098788</v>
      </c>
      <c r="R213" s="19">
        <v>1.38410412063399</v>
      </c>
      <c r="S213" s="19">
        <v>1.87607257254116</v>
      </c>
      <c r="T213" s="19">
        <v>0.0386774538180353</v>
      </c>
      <c r="U213" s="19">
        <v>2.5294916039819</v>
      </c>
      <c r="W213" s="24" t="s">
        <v>620</v>
      </c>
    </row>
    <row r="214" spans="1:23" s="23" customFormat="1" ht="51">
      <c r="A214" s="20" t="s">
        <v>621</v>
      </c>
      <c r="B214" s="35" t="s">
        <v>929</v>
      </c>
      <c r="C214" s="21">
        <f>(20+9)/(39+20)*100</f>
        <v>49.152542372881356</v>
      </c>
      <c r="D214" s="22">
        <v>3</v>
      </c>
      <c r="E214" s="22" t="s">
        <v>622</v>
      </c>
      <c r="F214" s="22" t="s">
        <v>539</v>
      </c>
      <c r="G214" s="22">
        <v>1706</v>
      </c>
      <c r="H214" s="22" t="s">
        <v>54</v>
      </c>
      <c r="I214" s="22" t="s">
        <v>19</v>
      </c>
      <c r="J214" s="22">
        <v>0.18</v>
      </c>
      <c r="K214" s="22">
        <v>0.01</v>
      </c>
      <c r="L214" s="22">
        <f>K214/J214</f>
        <v>0.05555555555555556</v>
      </c>
      <c r="M214" s="22" t="s">
        <v>20</v>
      </c>
      <c r="N214" s="22"/>
      <c r="O214" s="19" t="s">
        <v>125</v>
      </c>
      <c r="P214" s="19">
        <v>31</v>
      </c>
      <c r="Q214" s="19">
        <v>-1.2201583814754</v>
      </c>
      <c r="R214" s="19">
        <v>1.01280420582425</v>
      </c>
      <c r="S214" s="19" t="s">
        <v>720</v>
      </c>
      <c r="T214" s="19" t="s">
        <v>720</v>
      </c>
      <c r="U214" s="19" t="s">
        <v>720</v>
      </c>
      <c r="W214" s="23" t="s">
        <v>623</v>
      </c>
    </row>
    <row r="215" spans="1:23" s="23" customFormat="1" ht="38.25">
      <c r="A215" s="20" t="s">
        <v>624</v>
      </c>
      <c r="B215" s="35" t="s">
        <v>734</v>
      </c>
      <c r="C215" s="21">
        <v>100</v>
      </c>
      <c r="D215" s="22">
        <v>4</v>
      </c>
      <c r="E215" s="22" t="s">
        <v>625</v>
      </c>
      <c r="F215" s="22" t="s">
        <v>17</v>
      </c>
      <c r="G215" s="22">
        <v>2468</v>
      </c>
      <c r="H215" s="22" t="s">
        <v>18</v>
      </c>
      <c r="I215" s="22" t="s">
        <v>19</v>
      </c>
      <c r="J215" s="22">
        <v>0.246</v>
      </c>
      <c r="K215" s="22">
        <v>0.01</v>
      </c>
      <c r="L215" s="22">
        <f>K215/J215</f>
        <v>0.04065040650406504</v>
      </c>
      <c r="M215" s="22" t="s">
        <v>20</v>
      </c>
      <c r="N215" s="22">
        <v>0.0115</v>
      </c>
      <c r="O215" s="19" t="s">
        <v>21</v>
      </c>
      <c r="P215" s="19">
        <v>10</v>
      </c>
      <c r="Q215" s="19">
        <v>-0.697063623397317</v>
      </c>
      <c r="R215" s="19">
        <v>0.807307692868878</v>
      </c>
      <c r="S215" s="19">
        <v>0.274501952441124</v>
      </c>
      <c r="T215" s="19">
        <v>0.00941891523674866</v>
      </c>
      <c r="U215" s="19">
        <v>5.41931784625</v>
      </c>
      <c r="W215" s="23" t="s">
        <v>626</v>
      </c>
    </row>
    <row r="216" spans="1:23" s="42" customFormat="1" ht="51">
      <c r="A216" s="20" t="s">
        <v>627</v>
      </c>
      <c r="B216" s="35" t="s">
        <v>930</v>
      </c>
      <c r="C216" s="21">
        <v>100</v>
      </c>
      <c r="D216" s="22">
        <v>2</v>
      </c>
      <c r="E216" s="22" t="s">
        <v>312</v>
      </c>
      <c r="F216" s="22" t="s">
        <v>17</v>
      </c>
      <c r="G216" s="22">
        <v>460</v>
      </c>
      <c r="H216" s="22" t="s">
        <v>54</v>
      </c>
      <c r="I216" s="22" t="s">
        <v>234</v>
      </c>
      <c r="J216" s="22">
        <v>46.7</v>
      </c>
      <c r="K216" s="22">
        <v>80</v>
      </c>
      <c r="L216" s="22">
        <f>K216/J216</f>
        <v>1.7130620985010705</v>
      </c>
      <c r="M216" s="22" t="s">
        <v>30</v>
      </c>
      <c r="N216" s="27">
        <v>1</v>
      </c>
      <c r="O216" s="19" t="s">
        <v>40</v>
      </c>
      <c r="P216" s="19">
        <v>9</v>
      </c>
      <c r="Q216" s="19">
        <v>-0.525161735842663</v>
      </c>
      <c r="R216" s="19">
        <v>0.239362272027428</v>
      </c>
      <c r="S216" s="19">
        <v>0.049893162378631</v>
      </c>
      <c r="T216" s="19">
        <v>0.000355618236020062</v>
      </c>
      <c r="U216" s="19">
        <v>33.5760171404</v>
      </c>
      <c r="W216" s="23" t="s">
        <v>628</v>
      </c>
    </row>
    <row r="217" spans="1:23" s="42" customFormat="1" ht="51">
      <c r="A217" s="20" t="s">
        <v>629</v>
      </c>
      <c r="B217" s="35" t="s">
        <v>931</v>
      </c>
      <c r="C217" s="21">
        <f>14/16*100</f>
        <v>87.5</v>
      </c>
      <c r="D217" s="22">
        <v>5</v>
      </c>
      <c r="E217" s="22" t="s">
        <v>630</v>
      </c>
      <c r="F217" s="22" t="s">
        <v>123</v>
      </c>
      <c r="G217" s="22">
        <f>489+165</f>
        <v>654</v>
      </c>
      <c r="H217" s="22" t="s">
        <v>54</v>
      </c>
      <c r="I217" s="22" t="s">
        <v>234</v>
      </c>
      <c r="J217" s="22">
        <v>2.9</v>
      </c>
      <c r="K217" s="22">
        <v>0.01</v>
      </c>
      <c r="L217" s="22">
        <f>K217/J217</f>
        <v>0.003448275862068966</v>
      </c>
      <c r="M217" s="22" t="s">
        <v>20</v>
      </c>
      <c r="N217" s="3">
        <v>0.00305</v>
      </c>
      <c r="O217" s="19" t="s">
        <v>125</v>
      </c>
      <c r="P217" s="19">
        <v>14</v>
      </c>
      <c r="Q217" s="19">
        <v>-4.10975965040058</v>
      </c>
      <c r="R217" s="19">
        <v>0.0655285247382089</v>
      </c>
      <c r="S217" s="19">
        <v>0.0412294229684487</v>
      </c>
      <c r="T217" s="19">
        <v>0.000141655443192603</v>
      </c>
      <c r="U217" s="19">
        <v>27.9289157581967</v>
      </c>
      <c r="W217" s="24" t="s">
        <v>631</v>
      </c>
    </row>
    <row r="218" spans="1:23" s="42" customFormat="1" ht="51">
      <c r="A218" s="20" t="s">
        <v>632</v>
      </c>
      <c r="B218" s="35" t="s">
        <v>932</v>
      </c>
      <c r="C218" s="21">
        <v>100</v>
      </c>
      <c r="D218" s="22">
        <v>2</v>
      </c>
      <c r="E218" s="22" t="s">
        <v>43</v>
      </c>
      <c r="F218" s="22" t="s">
        <v>17</v>
      </c>
      <c r="G218" s="22">
        <v>402</v>
      </c>
      <c r="H218" s="22" t="s">
        <v>18</v>
      </c>
      <c r="I218" s="22" t="s">
        <v>87</v>
      </c>
      <c r="J218" s="22">
        <v>2.6</v>
      </c>
      <c r="K218" s="22">
        <v>0.01</v>
      </c>
      <c r="L218" s="22">
        <f>K218/J218</f>
        <v>0.003846153846153846</v>
      </c>
      <c r="M218" s="22" t="s">
        <v>20</v>
      </c>
      <c r="N218" s="22">
        <v>0.0115</v>
      </c>
      <c r="O218" s="19" t="s">
        <v>21</v>
      </c>
      <c r="P218" s="19">
        <v>7</v>
      </c>
      <c r="Q218" s="19">
        <v>-1.74345541197472</v>
      </c>
      <c r="R218" s="19">
        <v>0.122927231774616</v>
      </c>
      <c r="S218" s="19">
        <v>0.0901281049103241</v>
      </c>
      <c r="T218" s="19">
        <v>0.00162461505894528</v>
      </c>
      <c r="U218" s="19">
        <v>11.8457362597826</v>
      </c>
      <c r="W218" s="23" t="s">
        <v>633</v>
      </c>
    </row>
    <row r="219" spans="1:23" s="42" customFormat="1" ht="51">
      <c r="A219" s="20" t="s">
        <v>634</v>
      </c>
      <c r="B219" s="35" t="s">
        <v>933</v>
      </c>
      <c r="C219" s="21">
        <v>100</v>
      </c>
      <c r="D219" s="22">
        <v>2</v>
      </c>
      <c r="E219" s="22" t="s">
        <v>90</v>
      </c>
      <c r="F219" s="22" t="s">
        <v>17</v>
      </c>
      <c r="G219" s="22">
        <v>543</v>
      </c>
      <c r="H219" s="22" t="s">
        <v>18</v>
      </c>
      <c r="I219" s="22" t="s">
        <v>255</v>
      </c>
      <c r="J219" s="22">
        <v>4.1</v>
      </c>
      <c r="K219" s="22">
        <v>0.1</v>
      </c>
      <c r="L219" s="22">
        <f>K219/J219</f>
        <v>0.02439024390243903</v>
      </c>
      <c r="M219" s="22" t="s">
        <v>20</v>
      </c>
      <c r="N219" s="22">
        <v>0.0115</v>
      </c>
      <c r="O219" s="19" t="s">
        <v>55</v>
      </c>
      <c r="P219" s="19">
        <v>8</v>
      </c>
      <c r="Q219" s="19">
        <v>0.479177680442372</v>
      </c>
      <c r="R219" s="19">
        <v>1.51827974719314</v>
      </c>
      <c r="S219" s="19">
        <v>0.0601914891209361</v>
      </c>
      <c r="T219" s="19">
        <v>0.000603835893765962</v>
      </c>
      <c r="U219" s="19">
        <v>24.0986215173913</v>
      </c>
      <c r="W219" s="23" t="s">
        <v>635</v>
      </c>
    </row>
    <row r="220" spans="1:23" s="23" customFormat="1" ht="38.25">
      <c r="A220" s="20" t="s">
        <v>636</v>
      </c>
      <c r="B220" s="37" t="s">
        <v>730</v>
      </c>
      <c r="C220" s="21">
        <v>100</v>
      </c>
      <c r="D220" s="22">
        <v>3</v>
      </c>
      <c r="E220" s="22" t="s">
        <v>312</v>
      </c>
      <c r="F220" s="22" t="s">
        <v>17</v>
      </c>
      <c r="G220" s="22">
        <v>367</v>
      </c>
      <c r="H220" s="22" t="s">
        <v>18</v>
      </c>
      <c r="I220" s="22" t="s">
        <v>359</v>
      </c>
      <c r="J220" s="22">
        <v>6.9</v>
      </c>
      <c r="K220" s="22">
        <f>10/G220</f>
        <v>0.027247956403269755</v>
      </c>
      <c r="L220" s="22">
        <f>K220/J220</f>
        <v>0.003948979188879674</v>
      </c>
      <c r="M220" s="22" t="s">
        <v>20</v>
      </c>
      <c r="N220" s="22">
        <v>0.0115</v>
      </c>
      <c r="O220" s="19" t="s">
        <v>55</v>
      </c>
      <c r="P220" s="19">
        <v>5</v>
      </c>
      <c r="Q220" s="19">
        <v>-1.82912687585266</v>
      </c>
      <c r="R220" s="19">
        <v>0.0317204763768362</v>
      </c>
      <c r="S220" s="19">
        <v>0.0595936931641453</v>
      </c>
      <c r="T220" s="19">
        <v>0.00118380275498076</v>
      </c>
      <c r="U220" s="19">
        <v>12.4178220076086</v>
      </c>
      <c r="W220" s="23" t="s">
        <v>637</v>
      </c>
    </row>
    <row r="221" spans="1:23" s="23" customFormat="1" ht="51">
      <c r="A221" s="20" t="s">
        <v>638</v>
      </c>
      <c r="B221" s="35" t="s">
        <v>639</v>
      </c>
      <c r="C221" s="21">
        <f>11/18*100</f>
        <v>61.111111111111114</v>
      </c>
      <c r="D221" s="22">
        <v>5</v>
      </c>
      <c r="E221" s="22" t="s">
        <v>43</v>
      </c>
      <c r="F221" s="22" t="s">
        <v>17</v>
      </c>
      <c r="G221" s="22">
        <v>525</v>
      </c>
      <c r="H221" s="22" t="s">
        <v>18</v>
      </c>
      <c r="I221" s="22" t="s">
        <v>19</v>
      </c>
      <c r="J221" s="22">
        <v>2.7</v>
      </c>
      <c r="K221" s="22">
        <v>0.05</v>
      </c>
      <c r="L221" s="22">
        <f>K221/J221</f>
        <v>0.018518518518518517</v>
      </c>
      <c r="M221" s="22" t="s">
        <v>20</v>
      </c>
      <c r="N221" s="22">
        <v>0.0115</v>
      </c>
      <c r="O221" s="19" t="s">
        <v>21</v>
      </c>
      <c r="P221" s="19">
        <v>9</v>
      </c>
      <c r="Q221" s="19">
        <v>-1.64049955002694</v>
      </c>
      <c r="R221" s="19">
        <v>0.109097166450366</v>
      </c>
      <c r="S221" s="19">
        <v>0.0933333309066667</v>
      </c>
      <c r="T221" s="19">
        <v>0.00124444437973333</v>
      </c>
      <c r="U221" s="19">
        <v>14.90036270625</v>
      </c>
      <c r="W221" s="23" t="s">
        <v>640</v>
      </c>
    </row>
    <row r="222" spans="1:23" s="23" customFormat="1" ht="25.5">
      <c r="A222" s="20" t="s">
        <v>641</v>
      </c>
      <c r="B222" s="35" t="s">
        <v>729</v>
      </c>
      <c r="C222" s="21">
        <v>100</v>
      </c>
      <c r="D222" s="22">
        <v>2</v>
      </c>
      <c r="E222" s="22" t="s">
        <v>385</v>
      </c>
      <c r="F222" s="22" t="s">
        <v>17</v>
      </c>
      <c r="G222" s="22">
        <f>600</f>
        <v>600</v>
      </c>
      <c r="H222" s="22" t="s">
        <v>18</v>
      </c>
      <c r="I222" s="22" t="s">
        <v>87</v>
      </c>
      <c r="J222" s="22">
        <v>54.2</v>
      </c>
      <c r="K222" s="22">
        <v>0.1</v>
      </c>
      <c r="L222" s="22">
        <f>K222/J222</f>
        <v>0.0018450184501845018</v>
      </c>
      <c r="M222" s="22" t="s">
        <v>20</v>
      </c>
      <c r="N222" s="22">
        <v>0.0115</v>
      </c>
      <c r="O222" s="19" t="s">
        <v>21</v>
      </c>
      <c r="P222" s="19">
        <v>24</v>
      </c>
      <c r="Q222" s="19">
        <v>-4.61838784990294</v>
      </c>
      <c r="R222" s="19">
        <v>0.228288444762383</v>
      </c>
      <c r="S222" s="19">
        <v>0.264212010517826</v>
      </c>
      <c r="T222" s="19">
        <v>0.00317309029553965</v>
      </c>
      <c r="U222" s="19">
        <v>5.23035028002717</v>
      </c>
      <c r="W222" s="24" t="s">
        <v>642</v>
      </c>
    </row>
    <row r="223" spans="1:23" s="23" customFormat="1" ht="38.25" customHeight="1">
      <c r="A223" s="20" t="s">
        <v>643</v>
      </c>
      <c r="B223" s="38" t="s">
        <v>940</v>
      </c>
      <c r="C223" s="21">
        <f>42/45*100</f>
        <v>93.33333333333333</v>
      </c>
      <c r="D223" s="22">
        <v>1</v>
      </c>
      <c r="E223" s="22" t="s">
        <v>90</v>
      </c>
      <c r="F223" s="22" t="s">
        <v>17</v>
      </c>
      <c r="G223" s="22">
        <v>862</v>
      </c>
      <c r="H223" s="22" t="s">
        <v>54</v>
      </c>
      <c r="I223" s="22" t="s">
        <v>19</v>
      </c>
      <c r="J223" s="22">
        <v>1</v>
      </c>
      <c r="K223" s="22">
        <v>1</v>
      </c>
      <c r="L223" s="22">
        <f>K223/J223</f>
        <v>1</v>
      </c>
      <c r="M223" s="22" t="s">
        <v>20</v>
      </c>
      <c r="N223" s="22">
        <v>0.0115</v>
      </c>
      <c r="O223" s="19" t="s">
        <v>55</v>
      </c>
      <c r="P223" s="19">
        <v>38</v>
      </c>
      <c r="Q223" s="19">
        <v>4.96043721974814</v>
      </c>
      <c r="R223" s="19">
        <v>3.86128963939249</v>
      </c>
      <c r="S223" s="19">
        <v>0.274683396699055</v>
      </c>
      <c r="T223" s="19">
        <v>0.00209586023394807</v>
      </c>
      <c r="U223" s="19">
        <v>15.4015728600543</v>
      </c>
      <c r="W223" s="24" t="s">
        <v>644</v>
      </c>
    </row>
    <row r="224" spans="1:23" s="23" customFormat="1" ht="38.25" customHeight="1">
      <c r="A224" s="20" t="s">
        <v>645</v>
      </c>
      <c r="B224" s="38" t="s">
        <v>941</v>
      </c>
      <c r="C224" s="21">
        <f>13/16*100</f>
        <v>81.25</v>
      </c>
      <c r="D224" s="22">
        <v>1</v>
      </c>
      <c r="E224" s="22" t="s">
        <v>90</v>
      </c>
      <c r="F224" s="22" t="s">
        <v>17</v>
      </c>
      <c r="G224" s="22">
        <v>862</v>
      </c>
      <c r="H224" s="22" t="s">
        <v>54</v>
      </c>
      <c r="I224" s="22" t="s">
        <v>19</v>
      </c>
      <c r="J224" s="22">
        <v>1</v>
      </c>
      <c r="K224" s="22">
        <v>1</v>
      </c>
      <c r="L224" s="22">
        <v>1</v>
      </c>
      <c r="M224" s="22" t="s">
        <v>20</v>
      </c>
      <c r="N224" s="22">
        <v>0.0115</v>
      </c>
      <c r="O224" s="29" t="s">
        <v>55</v>
      </c>
      <c r="P224" s="19">
        <v>10</v>
      </c>
      <c r="Q224" s="19">
        <v>0.791422168964741</v>
      </c>
      <c r="R224" s="19">
        <v>1.39497729301155</v>
      </c>
      <c r="S224" s="19">
        <v>0.282851512179524</v>
      </c>
      <c r="T224" s="19">
        <v>0.0100006222427804</v>
      </c>
      <c r="U224" s="19">
        <v>5.94246739130434</v>
      </c>
      <c r="W224" s="23" t="s">
        <v>646</v>
      </c>
    </row>
    <row r="225" spans="1:23" s="23" customFormat="1" ht="38.25">
      <c r="A225" s="20" t="s">
        <v>647</v>
      </c>
      <c r="B225" s="34" t="s">
        <v>939</v>
      </c>
      <c r="C225" s="21">
        <f>25/28*100</f>
        <v>89.28571428571429</v>
      </c>
      <c r="D225" s="22">
        <v>1</v>
      </c>
      <c r="E225" s="22" t="s">
        <v>122</v>
      </c>
      <c r="F225" s="22" t="s">
        <v>123</v>
      </c>
      <c r="G225" s="22">
        <v>643</v>
      </c>
      <c r="H225" s="22" t="s">
        <v>18</v>
      </c>
      <c r="I225" s="22" t="s">
        <v>189</v>
      </c>
      <c r="J225" s="22">
        <v>3.912</v>
      </c>
      <c r="K225" s="22">
        <v>15</v>
      </c>
      <c r="L225" s="22">
        <f>K225/J225</f>
        <v>3.834355828220859</v>
      </c>
      <c r="M225" s="22" t="s">
        <v>30</v>
      </c>
      <c r="N225" s="22">
        <v>1</v>
      </c>
      <c r="O225" s="19" t="s">
        <v>125</v>
      </c>
      <c r="P225" s="19">
        <v>25</v>
      </c>
      <c r="Q225" s="19">
        <v>0.634761195968795</v>
      </c>
      <c r="R225" s="19">
        <v>1.1385001901678</v>
      </c>
      <c r="S225" s="19">
        <v>0.504109589070132</v>
      </c>
      <c r="T225" s="19">
        <v>0.0110489772953242</v>
      </c>
      <c r="U225" s="19">
        <v>5.29776169448012</v>
      </c>
      <c r="W225" s="24" t="s">
        <v>648</v>
      </c>
    </row>
    <row r="226" spans="1:23" s="23" customFormat="1" ht="38.25">
      <c r="A226" s="20" t="s">
        <v>649</v>
      </c>
      <c r="B226" s="34" t="s">
        <v>938</v>
      </c>
      <c r="C226" s="21">
        <f>95/202*100</f>
        <v>47.02970297029702</v>
      </c>
      <c r="D226" s="22">
        <v>2</v>
      </c>
      <c r="E226" s="22" t="s">
        <v>650</v>
      </c>
      <c r="F226" s="22" t="s">
        <v>24</v>
      </c>
      <c r="G226" s="22">
        <f>1800+400</f>
        <v>2200</v>
      </c>
      <c r="H226" s="22" t="s">
        <v>25</v>
      </c>
      <c r="I226" s="22" t="s">
        <v>19</v>
      </c>
      <c r="J226" s="22">
        <v>80.7</v>
      </c>
      <c r="K226" s="22">
        <v>60</v>
      </c>
      <c r="L226" s="22">
        <f>K226/J226</f>
        <v>0.7434944237918215</v>
      </c>
      <c r="M226" s="22" t="s">
        <v>30</v>
      </c>
      <c r="N226" s="22">
        <v>1</v>
      </c>
      <c r="O226" s="19" t="s">
        <v>55</v>
      </c>
      <c r="P226" s="19">
        <v>83</v>
      </c>
      <c r="Q226" s="19">
        <v>-4.94161690996506</v>
      </c>
      <c r="R226" s="19">
        <v>0.532272561904868</v>
      </c>
      <c r="S226" s="19">
        <v>0.0314649201711484</v>
      </c>
      <c r="T226" s="19">
        <v>1.22227308811943E-05</v>
      </c>
      <c r="U226" s="19">
        <v>64.218563962858</v>
      </c>
      <c r="W226" s="24" t="s">
        <v>651</v>
      </c>
    </row>
    <row r="227" spans="1:23" s="23" customFormat="1" ht="38.25">
      <c r="A227" s="1" t="s">
        <v>652</v>
      </c>
      <c r="B227" s="34" t="s">
        <v>937</v>
      </c>
      <c r="C227" s="21">
        <v>100</v>
      </c>
      <c r="D227" s="22">
        <v>2</v>
      </c>
      <c r="E227" s="22" t="s">
        <v>90</v>
      </c>
      <c r="F227" s="22" t="s">
        <v>17</v>
      </c>
      <c r="G227" s="22">
        <v>1000</v>
      </c>
      <c r="H227" s="22" t="s">
        <v>18</v>
      </c>
      <c r="I227" s="22" t="s">
        <v>276</v>
      </c>
      <c r="J227" s="22"/>
      <c r="K227" s="22"/>
      <c r="L227" s="22"/>
      <c r="M227" s="22"/>
      <c r="N227" s="22"/>
      <c r="O227" s="19" t="s">
        <v>727</v>
      </c>
      <c r="P227" s="19">
        <v>10</v>
      </c>
      <c r="Q227" s="19">
        <v>-3.09488278152198</v>
      </c>
      <c r="R227" s="19">
        <v>0.305008856014359</v>
      </c>
      <c r="S227" s="19">
        <v>0.117852710799161</v>
      </c>
      <c r="T227" s="19">
        <v>0.00173615768033886</v>
      </c>
      <c r="U227" s="19">
        <v>8.03894927536231</v>
      </c>
      <c r="W227" s="20" t="s">
        <v>653</v>
      </c>
    </row>
    <row r="228" spans="1:23" s="23" customFormat="1" ht="63.75">
      <c r="A228" s="1" t="s">
        <v>654</v>
      </c>
      <c r="B228" s="33" t="s">
        <v>728</v>
      </c>
      <c r="C228" s="21">
        <v>100</v>
      </c>
      <c r="D228" s="22">
        <v>1</v>
      </c>
      <c r="E228" s="22" t="s">
        <v>655</v>
      </c>
      <c r="F228" s="22" t="s">
        <v>17</v>
      </c>
      <c r="G228" s="22">
        <v>658</v>
      </c>
      <c r="H228" s="22" t="s">
        <v>25</v>
      </c>
      <c r="I228" s="22" t="s">
        <v>656</v>
      </c>
      <c r="J228" s="22">
        <v>1.239</v>
      </c>
      <c r="K228" s="22">
        <v>5</v>
      </c>
      <c r="L228" s="22">
        <f>K228/J228</f>
        <v>4.035512510088781</v>
      </c>
      <c r="M228" s="22" t="s">
        <v>30</v>
      </c>
      <c r="N228" s="22">
        <v>1</v>
      </c>
      <c r="O228" s="19" t="s">
        <v>21</v>
      </c>
      <c r="P228" s="19">
        <v>12</v>
      </c>
      <c r="Q228" s="19">
        <v>-2.12577113440482</v>
      </c>
      <c r="R228" s="19">
        <v>0.051838987980169</v>
      </c>
      <c r="S228" s="19">
        <v>0.109636315372733</v>
      </c>
      <c r="T228" s="19">
        <v>0.00120201216485094</v>
      </c>
      <c r="U228" s="19">
        <v>15.4481100346345</v>
      </c>
      <c r="W228" s="10" t="s">
        <v>657</v>
      </c>
    </row>
    <row r="229" spans="1:23" s="23" customFormat="1" ht="38.25">
      <c r="A229" s="24" t="s">
        <v>658</v>
      </c>
      <c r="B229" s="33" t="s">
        <v>944</v>
      </c>
      <c r="C229" s="21">
        <v>100</v>
      </c>
      <c r="D229" s="22">
        <v>4</v>
      </c>
      <c r="E229" s="22" t="s">
        <v>122</v>
      </c>
      <c r="F229" s="22" t="s">
        <v>123</v>
      </c>
      <c r="G229" s="22">
        <v>787</v>
      </c>
      <c r="H229" s="22" t="s">
        <v>18</v>
      </c>
      <c r="I229" s="22" t="s">
        <v>968</v>
      </c>
      <c r="J229" s="22">
        <v>3.668</v>
      </c>
      <c r="K229" s="22">
        <v>0.09789</v>
      </c>
      <c r="L229" s="22">
        <f>K229/J229</f>
        <v>0.026687568157033804</v>
      </c>
      <c r="M229" s="22" t="s">
        <v>20</v>
      </c>
      <c r="N229" s="3">
        <v>0.00305</v>
      </c>
      <c r="O229" s="19" t="s">
        <v>125</v>
      </c>
      <c r="P229" s="19">
        <v>8</v>
      </c>
      <c r="Q229" s="19">
        <v>-0.199474091167518</v>
      </c>
      <c r="R229" s="19">
        <v>0.782864436804266</v>
      </c>
      <c r="S229" s="19">
        <v>0.22176990249428</v>
      </c>
      <c r="T229" s="19">
        <v>0.00819698160872041</v>
      </c>
      <c r="U229" s="19">
        <v>6.35889641081967</v>
      </c>
      <c r="W229" s="30" t="s">
        <v>660</v>
      </c>
    </row>
    <row r="230" spans="1:23" s="23" customFormat="1" ht="38.25">
      <c r="A230" s="24" t="s">
        <v>661</v>
      </c>
      <c r="B230" s="34" t="s">
        <v>945</v>
      </c>
      <c r="C230" s="21">
        <v>100</v>
      </c>
      <c r="D230" s="22">
        <v>5</v>
      </c>
      <c r="E230" s="22" t="s">
        <v>662</v>
      </c>
      <c r="F230" s="22" t="s">
        <v>17</v>
      </c>
      <c r="G230" s="22">
        <v>1240</v>
      </c>
      <c r="H230" s="22" t="s">
        <v>54</v>
      </c>
      <c r="I230" s="22" t="s">
        <v>234</v>
      </c>
      <c r="J230" s="22">
        <v>0.334</v>
      </c>
      <c r="K230" s="22">
        <v>0.01</v>
      </c>
      <c r="L230" s="22">
        <f>K230/J230</f>
        <v>0.029940119760479042</v>
      </c>
      <c r="M230" s="22" t="s">
        <v>20</v>
      </c>
      <c r="N230" s="22">
        <v>0.0115</v>
      </c>
      <c r="O230" s="19" t="s">
        <v>40</v>
      </c>
      <c r="P230" s="19">
        <v>13</v>
      </c>
      <c r="Q230" s="19">
        <v>-0.43682464441718</v>
      </c>
      <c r="R230" s="19">
        <v>0.834053126357666</v>
      </c>
      <c r="S230" s="19">
        <v>0.279771467955077</v>
      </c>
      <c r="T230" s="19">
        <v>0.0071156431165217</v>
      </c>
      <c r="U230" s="19">
        <v>6.55035721850543</v>
      </c>
      <c r="W230" s="30" t="s">
        <v>664</v>
      </c>
    </row>
    <row r="231" spans="1:23" s="23" customFormat="1" ht="51">
      <c r="A231" s="6" t="s">
        <v>665</v>
      </c>
      <c r="B231" s="33" t="s">
        <v>946</v>
      </c>
      <c r="C231" s="21">
        <v>75</v>
      </c>
      <c r="D231" s="22">
        <v>5</v>
      </c>
      <c r="E231" s="22" t="s">
        <v>122</v>
      </c>
      <c r="F231" s="22" t="s">
        <v>123</v>
      </c>
      <c r="G231" s="22">
        <v>487</v>
      </c>
      <c r="H231" s="22" t="s">
        <v>18</v>
      </c>
      <c r="I231" s="22" t="s">
        <v>247</v>
      </c>
      <c r="J231" s="22">
        <v>0.167</v>
      </c>
      <c r="K231" s="22">
        <v>0.005</v>
      </c>
      <c r="L231" s="22">
        <f>K231/J231</f>
        <v>0.029940119760479042</v>
      </c>
      <c r="M231" s="22" t="s">
        <v>20</v>
      </c>
      <c r="N231" s="3">
        <v>0.00305</v>
      </c>
      <c r="O231" s="19" t="s">
        <v>125</v>
      </c>
      <c r="P231" s="19">
        <v>23</v>
      </c>
      <c r="Q231" s="19">
        <v>2.92003222212854</v>
      </c>
      <c r="R231" s="19">
        <v>2.89819098410401</v>
      </c>
      <c r="S231" s="19">
        <v>0.276541783308805</v>
      </c>
      <c r="T231" s="19">
        <v>0.00364168371026733</v>
      </c>
      <c r="U231" s="19">
        <v>14.9823688864241</v>
      </c>
      <c r="W231" s="10" t="s">
        <v>667</v>
      </c>
    </row>
    <row r="232" spans="1:23" s="5" customFormat="1" ht="51">
      <c r="A232" s="1" t="s">
        <v>668</v>
      </c>
      <c r="B232" s="34" t="s">
        <v>947</v>
      </c>
      <c r="C232" s="4">
        <v>96</v>
      </c>
      <c r="D232" s="3">
        <v>2</v>
      </c>
      <c r="E232" s="3" t="s">
        <v>39</v>
      </c>
      <c r="F232" s="3" t="s">
        <v>24</v>
      </c>
      <c r="G232" s="3">
        <v>2169</v>
      </c>
      <c r="H232" s="3" t="s">
        <v>18</v>
      </c>
      <c r="I232" s="3" t="s">
        <v>19</v>
      </c>
      <c r="J232" s="3">
        <v>0.276</v>
      </c>
      <c r="K232" s="3">
        <v>0.05</v>
      </c>
      <c r="L232" s="3">
        <f>K232/J232</f>
        <v>0.18115942028985507</v>
      </c>
      <c r="M232" s="3" t="s">
        <v>20</v>
      </c>
      <c r="N232" s="3"/>
      <c r="O232" s="2" t="s">
        <v>40</v>
      </c>
      <c r="P232" s="19">
        <v>19</v>
      </c>
      <c r="Q232" s="19">
        <v>0.492522136706321</v>
      </c>
      <c r="R232" s="19">
        <v>1.03583398171443</v>
      </c>
      <c r="S232" s="19" t="s">
        <v>720</v>
      </c>
      <c r="T232" s="19" t="s">
        <v>720</v>
      </c>
      <c r="U232" s="19" t="s">
        <v>720</v>
      </c>
      <c r="W232" s="5" t="s">
        <v>669</v>
      </c>
    </row>
    <row r="233" spans="1:23" s="23" customFormat="1" ht="51">
      <c r="A233" s="24" t="s">
        <v>670</v>
      </c>
      <c r="B233" s="33" t="s">
        <v>934</v>
      </c>
      <c r="C233" s="21">
        <v>60</v>
      </c>
      <c r="D233" s="22">
        <v>3</v>
      </c>
      <c r="E233" s="22" t="s">
        <v>671</v>
      </c>
      <c r="F233" s="22" t="s">
        <v>672</v>
      </c>
      <c r="G233" s="22">
        <v>4065</v>
      </c>
      <c r="H233" s="22" t="s">
        <v>25</v>
      </c>
      <c r="I233" s="22" t="s">
        <v>726</v>
      </c>
      <c r="J233" s="22">
        <v>0.505</v>
      </c>
      <c r="K233" s="22">
        <v>10</v>
      </c>
      <c r="L233" s="22">
        <f>K233/J233</f>
        <v>19.801980198019802</v>
      </c>
      <c r="M233" s="22" t="s">
        <v>30</v>
      </c>
      <c r="N233" s="22">
        <v>1</v>
      </c>
      <c r="O233" s="19" t="s">
        <v>21</v>
      </c>
      <c r="P233" s="19">
        <v>4</v>
      </c>
      <c r="Q233" s="19">
        <v>-1.11705398519742</v>
      </c>
      <c r="R233" s="19">
        <v>0.0179078611041147</v>
      </c>
      <c r="S233" s="19">
        <v>0.0262747138371227</v>
      </c>
      <c r="T233" s="19">
        <v>0.000345180293611345</v>
      </c>
      <c r="U233" s="19">
        <v>23.7920792103</v>
      </c>
      <c r="W233" s="30" t="s">
        <v>674</v>
      </c>
    </row>
    <row r="234" spans="1:23" s="23" customFormat="1" ht="38.25">
      <c r="A234" s="24" t="s">
        <v>675</v>
      </c>
      <c r="B234" s="33" t="s">
        <v>935</v>
      </c>
      <c r="C234" s="21">
        <v>100</v>
      </c>
      <c r="D234" s="22">
        <v>5</v>
      </c>
      <c r="E234" s="22" t="s">
        <v>676</v>
      </c>
      <c r="F234" s="22" t="s">
        <v>672</v>
      </c>
      <c r="G234" s="22">
        <v>3250</v>
      </c>
      <c r="H234" s="22" t="s">
        <v>18</v>
      </c>
      <c r="I234" s="22" t="s">
        <v>19</v>
      </c>
      <c r="J234" s="22">
        <v>0.163</v>
      </c>
      <c r="K234" s="22">
        <v>0.005</v>
      </c>
      <c r="L234" s="22">
        <f>K234/J234</f>
        <v>0.03067484662576687</v>
      </c>
      <c r="M234" s="22" t="s">
        <v>20</v>
      </c>
      <c r="N234" s="22"/>
      <c r="O234" s="19" t="s">
        <v>21</v>
      </c>
      <c r="P234" s="19">
        <v>21</v>
      </c>
      <c r="Q234" s="19">
        <v>-0.534454082361752</v>
      </c>
      <c r="R234" s="19">
        <v>0.89880211598471</v>
      </c>
      <c r="S234" s="19" t="s">
        <v>720</v>
      </c>
      <c r="T234" s="19" t="s">
        <v>720</v>
      </c>
      <c r="U234" s="19" t="s">
        <v>720</v>
      </c>
      <c r="W234" s="30" t="s">
        <v>678</v>
      </c>
    </row>
    <row r="235" spans="1:23" s="23" customFormat="1" ht="51">
      <c r="A235" s="1" t="s">
        <v>721</v>
      </c>
      <c r="B235" s="33" t="s">
        <v>970</v>
      </c>
      <c r="C235" s="21">
        <v>100</v>
      </c>
      <c r="D235" s="22">
        <v>3</v>
      </c>
      <c r="E235" s="22" t="s">
        <v>969</v>
      </c>
      <c r="F235" s="22" t="s">
        <v>17</v>
      </c>
      <c r="G235" s="22">
        <v>1921</v>
      </c>
      <c r="H235" s="22" t="s">
        <v>25</v>
      </c>
      <c r="I235" s="22" t="s">
        <v>713</v>
      </c>
      <c r="J235" s="22">
        <v>0.056</v>
      </c>
      <c r="K235" s="22">
        <f>10/G235</f>
        <v>0.0052056220718375845</v>
      </c>
      <c r="L235" s="22">
        <f>K235/J235</f>
        <v>0.09295753699709972</v>
      </c>
      <c r="M235" s="22" t="s">
        <v>20</v>
      </c>
      <c r="N235" s="22">
        <v>0.0115</v>
      </c>
      <c r="O235" s="19"/>
      <c r="P235" s="19">
        <v>17</v>
      </c>
      <c r="Q235" s="19">
        <v>-3.14086702416267</v>
      </c>
      <c r="R235" s="19">
        <v>0.181036831477908</v>
      </c>
      <c r="S235" s="19">
        <v>0.156270145299476</v>
      </c>
      <c r="T235" s="19">
        <v>0.0016280238874613</v>
      </c>
      <c r="U235" s="19">
        <v>10.2709819483583</v>
      </c>
      <c r="W235" s="19" t="s">
        <v>21</v>
      </c>
    </row>
    <row r="236" spans="1:23" s="23" customFormat="1" ht="38.25">
      <c r="A236" s="24" t="s">
        <v>679</v>
      </c>
      <c r="B236" s="34" t="s">
        <v>936</v>
      </c>
      <c r="C236" s="21">
        <v>100</v>
      </c>
      <c r="D236" s="22" t="s">
        <v>680</v>
      </c>
      <c r="E236" s="22" t="s">
        <v>681</v>
      </c>
      <c r="F236" s="22" t="s">
        <v>17</v>
      </c>
      <c r="G236" s="22">
        <v>855</v>
      </c>
      <c r="H236" s="22" t="s">
        <v>18</v>
      </c>
      <c r="I236" s="22" t="s">
        <v>276</v>
      </c>
      <c r="J236" s="22">
        <v>4.628</v>
      </c>
      <c r="K236" s="22">
        <v>0.16</v>
      </c>
      <c r="L236" s="22">
        <f>K236/J236</f>
        <v>0.03457216940363008</v>
      </c>
      <c r="M236" s="22" t="s">
        <v>20</v>
      </c>
      <c r="N236" s="22">
        <v>0.0115</v>
      </c>
      <c r="O236" s="19" t="s">
        <v>21</v>
      </c>
      <c r="P236" s="19">
        <v>28</v>
      </c>
      <c r="Q236" s="19">
        <v>-2.44099480175871</v>
      </c>
      <c r="R236" s="19">
        <v>0.518591745889994</v>
      </c>
      <c r="S236" s="19">
        <v>0.403403848172587</v>
      </c>
      <c r="T236" s="19">
        <v>0.00625902556617124</v>
      </c>
      <c r="U236" s="19">
        <v>5.63464115401188</v>
      </c>
      <c r="W236" s="30" t="s">
        <v>683</v>
      </c>
    </row>
    <row r="237" spans="1:23" s="23" customFormat="1" ht="38.25">
      <c r="A237" s="6" t="s">
        <v>684</v>
      </c>
      <c r="B237" s="33" t="s">
        <v>948</v>
      </c>
      <c r="C237" s="21">
        <v>100</v>
      </c>
      <c r="D237" s="22">
        <v>5</v>
      </c>
      <c r="E237" s="22" t="s">
        <v>685</v>
      </c>
      <c r="F237" s="22" t="s">
        <v>17</v>
      </c>
      <c r="G237" s="22">
        <v>1378</v>
      </c>
      <c r="H237" s="22" t="s">
        <v>18</v>
      </c>
      <c r="I237" s="22" t="s">
        <v>19</v>
      </c>
      <c r="J237" s="22">
        <v>0.538</v>
      </c>
      <c r="K237" s="22">
        <v>0.01</v>
      </c>
      <c r="L237" s="22">
        <f>K237/J237</f>
        <v>0.01858736059479554</v>
      </c>
      <c r="M237" s="22" t="s">
        <v>20</v>
      </c>
      <c r="N237" s="22">
        <v>0.0115</v>
      </c>
      <c r="O237" s="19" t="s">
        <v>55</v>
      </c>
      <c r="P237" s="19">
        <v>19</v>
      </c>
      <c r="Q237" s="19">
        <v>-4.68607402008723</v>
      </c>
      <c r="R237" s="19">
        <v>0.0996302757270061</v>
      </c>
      <c r="S237" s="19">
        <v>0.373553970332634</v>
      </c>
      <c r="T237" s="19">
        <v>0.0082083863971338</v>
      </c>
      <c r="U237" s="19">
        <v>3.6568198069441</v>
      </c>
      <c r="W237" s="30" t="s">
        <v>686</v>
      </c>
    </row>
    <row r="238" spans="1:23" s="23" customFormat="1" ht="38.25">
      <c r="A238" s="20" t="s">
        <v>687</v>
      </c>
      <c r="B238" s="33" t="s">
        <v>949</v>
      </c>
      <c r="C238" s="21">
        <v>100</v>
      </c>
      <c r="D238" s="22">
        <v>2</v>
      </c>
      <c r="E238" s="22" t="s">
        <v>122</v>
      </c>
      <c r="F238" s="22" t="s">
        <v>123</v>
      </c>
      <c r="G238" s="22">
        <v>652</v>
      </c>
      <c r="H238" s="22" t="s">
        <v>18</v>
      </c>
      <c r="I238" s="22" t="s">
        <v>255</v>
      </c>
      <c r="J238" s="22">
        <v>0.211</v>
      </c>
      <c r="K238" s="22">
        <v>0.01</v>
      </c>
      <c r="L238" s="22">
        <f>K238/J238</f>
        <v>0.047393364928909956</v>
      </c>
      <c r="M238" s="22" t="s">
        <v>20</v>
      </c>
      <c r="N238" s="22"/>
      <c r="O238" s="19" t="s">
        <v>125</v>
      </c>
      <c r="P238" s="19">
        <v>7</v>
      </c>
      <c r="Q238" s="19">
        <v>1.54861005785853</v>
      </c>
      <c r="R238" s="19">
        <v>1.63274180691513</v>
      </c>
      <c r="S238" s="19" t="s">
        <v>720</v>
      </c>
      <c r="T238" s="19" t="s">
        <v>720</v>
      </c>
      <c r="U238" s="19" t="s">
        <v>720</v>
      </c>
      <c r="W238" s="23" t="s">
        <v>688</v>
      </c>
    </row>
    <row r="239" spans="1:23" s="23" customFormat="1" ht="38.25">
      <c r="A239" s="24" t="s">
        <v>689</v>
      </c>
      <c r="B239" s="33" t="s">
        <v>950</v>
      </c>
      <c r="C239" s="21">
        <v>60</v>
      </c>
      <c r="D239" s="22">
        <v>2</v>
      </c>
      <c r="E239" s="22" t="s">
        <v>122</v>
      </c>
      <c r="F239" s="22" t="s">
        <v>123</v>
      </c>
      <c r="G239" s="22">
        <v>743</v>
      </c>
      <c r="H239" s="22" t="s">
        <v>18</v>
      </c>
      <c r="I239" s="22" t="s">
        <v>656</v>
      </c>
      <c r="J239" s="22">
        <v>0.143</v>
      </c>
      <c r="K239" s="22">
        <v>0.01</v>
      </c>
      <c r="L239" s="22">
        <f>K239/J239</f>
        <v>0.06993006993006994</v>
      </c>
      <c r="M239" s="22" t="s">
        <v>20</v>
      </c>
      <c r="N239" s="3">
        <v>0.00305</v>
      </c>
      <c r="O239" s="19" t="s">
        <v>125</v>
      </c>
      <c r="P239" s="19">
        <v>84</v>
      </c>
      <c r="Q239" s="19">
        <v>1.76900664235168</v>
      </c>
      <c r="R239" s="19">
        <v>1.57767622206699</v>
      </c>
      <c r="S239" s="19">
        <v>0.166387355040748</v>
      </c>
      <c r="T239" s="19">
        <v>0.000337618925822633</v>
      </c>
      <c r="U239" s="19">
        <v>22.7923810216603</v>
      </c>
      <c r="W239" s="30" t="s">
        <v>690</v>
      </c>
    </row>
    <row r="240" spans="1:23" s="23" customFormat="1" ht="25.5">
      <c r="A240" s="20" t="s">
        <v>691</v>
      </c>
      <c r="B240" s="33" t="s">
        <v>951</v>
      </c>
      <c r="C240" s="21">
        <v>100</v>
      </c>
      <c r="D240" s="22">
        <v>3</v>
      </c>
      <c r="E240" s="22" t="s">
        <v>692</v>
      </c>
      <c r="F240" s="22" t="s">
        <v>17</v>
      </c>
      <c r="G240" s="22">
        <v>2187</v>
      </c>
      <c r="H240" s="22" t="s">
        <v>25</v>
      </c>
      <c r="I240" s="22" t="s">
        <v>19</v>
      </c>
      <c r="J240" s="22">
        <v>5.585</v>
      </c>
      <c r="K240" s="22">
        <v>5</v>
      </c>
      <c r="L240" s="22">
        <f>K240/J240</f>
        <v>0.8952551477170994</v>
      </c>
      <c r="M240" s="22" t="s">
        <v>30</v>
      </c>
      <c r="N240" s="22">
        <v>1</v>
      </c>
      <c r="O240" s="19" t="s">
        <v>21</v>
      </c>
      <c r="P240" s="19">
        <v>10</v>
      </c>
      <c r="Q240" s="19">
        <v>0.281487265852068</v>
      </c>
      <c r="R240" s="19">
        <v>0.889439619769854</v>
      </c>
      <c r="S240" s="19">
        <v>0.45124476075222</v>
      </c>
      <c r="T240" s="19">
        <v>0.0254527292632911</v>
      </c>
      <c r="U240" s="19">
        <v>4.2005861136819</v>
      </c>
      <c r="W240" s="23" t="s">
        <v>694</v>
      </c>
    </row>
    <row r="241" spans="1:23" s="41" customFormat="1" ht="38.25">
      <c r="A241" s="20" t="s">
        <v>695</v>
      </c>
      <c r="B241" s="33" t="s">
        <v>952</v>
      </c>
      <c r="C241" s="21">
        <f>17/32*100</f>
        <v>53.125</v>
      </c>
      <c r="D241" s="22">
        <v>5</v>
      </c>
      <c r="E241" s="22" t="s">
        <v>681</v>
      </c>
      <c r="F241" s="22" t="s">
        <v>17</v>
      </c>
      <c r="G241" s="22">
        <v>711</v>
      </c>
      <c r="H241" s="22" t="s">
        <v>54</v>
      </c>
      <c r="I241" s="22" t="s">
        <v>247</v>
      </c>
      <c r="J241" s="22">
        <v>0.539</v>
      </c>
      <c r="K241" s="22">
        <v>0.05</v>
      </c>
      <c r="L241" s="22">
        <f>K241/J241</f>
        <v>0.09276437847866419</v>
      </c>
      <c r="M241" s="22" t="s">
        <v>20</v>
      </c>
      <c r="N241" s="22">
        <v>0.0115</v>
      </c>
      <c r="O241" s="19" t="s">
        <v>55</v>
      </c>
      <c r="P241" s="19">
        <v>19</v>
      </c>
      <c r="Q241" s="19">
        <v>0.0708972783837176</v>
      </c>
      <c r="R241" s="19">
        <v>1.1140628191442</v>
      </c>
      <c r="S241" s="19">
        <v>0.0972242592514875</v>
      </c>
      <c r="T241" s="19">
        <v>0.000556032740411791</v>
      </c>
      <c r="U241" s="19">
        <v>28.5449170012623</v>
      </c>
      <c r="W241" s="23" t="s">
        <v>696</v>
      </c>
    </row>
    <row r="242" spans="1:23" s="23" customFormat="1" ht="51">
      <c r="A242" s="1" t="s">
        <v>697</v>
      </c>
      <c r="B242" s="33" t="s">
        <v>953</v>
      </c>
      <c r="C242" s="21">
        <f>22/25*100</f>
        <v>88</v>
      </c>
      <c r="D242" s="22">
        <v>3</v>
      </c>
      <c r="E242" s="22" t="s">
        <v>90</v>
      </c>
      <c r="F242" s="22" t="s">
        <v>17</v>
      </c>
      <c r="G242" s="22">
        <v>565</v>
      </c>
      <c r="H242" s="22" t="s">
        <v>25</v>
      </c>
      <c r="I242" s="22" t="s">
        <v>19</v>
      </c>
      <c r="J242" s="22">
        <v>0.063</v>
      </c>
      <c r="K242" s="22">
        <f>5/G242</f>
        <v>0.008849557522123894</v>
      </c>
      <c r="L242" s="22">
        <f>K242/J242</f>
        <v>0.14046916701783957</v>
      </c>
      <c r="M242" s="22" t="s">
        <v>20</v>
      </c>
      <c r="N242" s="22">
        <v>0.0115</v>
      </c>
      <c r="O242" s="19" t="s">
        <v>55</v>
      </c>
      <c r="P242" s="19">
        <v>10</v>
      </c>
      <c r="Q242" s="19">
        <v>-2.50169144141936</v>
      </c>
      <c r="R242" s="19">
        <v>0.152293184997107</v>
      </c>
      <c r="S242" s="19">
        <v>0.150811945043259</v>
      </c>
      <c r="T242" s="19">
        <v>0.00284303034596637</v>
      </c>
      <c r="U242" s="19">
        <v>8.59080606290183</v>
      </c>
      <c r="W242" s="23" t="s">
        <v>698</v>
      </c>
    </row>
    <row r="243" spans="1:23" s="23" customFormat="1" ht="38.25">
      <c r="A243" s="24" t="s">
        <v>699</v>
      </c>
      <c r="B243" s="33" t="s">
        <v>954</v>
      </c>
      <c r="C243" s="21">
        <v>100</v>
      </c>
      <c r="D243" s="22">
        <v>1</v>
      </c>
      <c r="E243" s="22" t="s">
        <v>700</v>
      </c>
      <c r="F243" s="22" t="s">
        <v>17</v>
      </c>
      <c r="G243" s="22">
        <v>701</v>
      </c>
      <c r="H243" s="22" t="s">
        <v>54</v>
      </c>
      <c r="I243" s="22"/>
      <c r="J243" s="22">
        <v>0.673</v>
      </c>
      <c r="K243" s="22">
        <v>0.02</v>
      </c>
      <c r="L243" s="22">
        <f>K243/J243</f>
        <v>0.029717682020802376</v>
      </c>
      <c r="M243" s="22" t="s">
        <v>20</v>
      </c>
      <c r="N243" s="22">
        <v>0.0115</v>
      </c>
      <c r="O243" s="19" t="s">
        <v>21</v>
      </c>
      <c r="P243" s="19">
        <v>6</v>
      </c>
      <c r="Q243" s="19">
        <v>-2.43848420202511</v>
      </c>
      <c r="R243" s="19">
        <v>0.0342827582206555</v>
      </c>
      <c r="S243" s="19">
        <v>0.197335543228394</v>
      </c>
      <c r="T243" s="19">
        <v>0.00973532915531143</v>
      </c>
      <c r="U243" s="19">
        <v>4.17759544897826</v>
      </c>
      <c r="W243" s="30" t="s">
        <v>702</v>
      </c>
    </row>
    <row r="244" spans="1:23" s="23" customFormat="1" ht="51">
      <c r="A244" s="24" t="s">
        <v>703</v>
      </c>
      <c r="B244" s="33" t="s">
        <v>955</v>
      </c>
      <c r="C244" s="21">
        <v>93</v>
      </c>
      <c r="D244" s="22">
        <v>5</v>
      </c>
      <c r="E244" s="22" t="s">
        <v>700</v>
      </c>
      <c r="F244" s="22" t="s">
        <v>17</v>
      </c>
      <c r="G244" s="22">
        <v>2049</v>
      </c>
      <c r="H244" s="22" t="s">
        <v>54</v>
      </c>
      <c r="I244" s="22" t="s">
        <v>305</v>
      </c>
      <c r="J244" s="22">
        <v>3.669</v>
      </c>
      <c r="K244" s="22">
        <v>0.02</v>
      </c>
      <c r="L244" s="22">
        <f>K244/J244</f>
        <v>0.005451076587626056</v>
      </c>
      <c r="M244" s="22" t="s">
        <v>20</v>
      </c>
      <c r="N244" s="22">
        <v>0.0115</v>
      </c>
      <c r="O244" s="19" t="s">
        <v>21</v>
      </c>
      <c r="P244" s="19">
        <v>13</v>
      </c>
      <c r="Q244" s="19">
        <v>0.527767755621927</v>
      </c>
      <c r="R244" s="19">
        <v>1.1767268630793</v>
      </c>
      <c r="S244" s="19">
        <v>1.4299355009202</v>
      </c>
      <c r="T244" s="19">
        <v>0.185883230617448</v>
      </c>
      <c r="U244" s="19">
        <v>1.6159678265942</v>
      </c>
      <c r="W244" s="30" t="s">
        <v>705</v>
      </c>
    </row>
    <row r="245" spans="1:23" s="23" customFormat="1" ht="63.75">
      <c r="A245" s="24" t="s">
        <v>706</v>
      </c>
      <c r="B245" s="39" t="s">
        <v>956</v>
      </c>
      <c r="C245" s="21">
        <v>100</v>
      </c>
      <c r="D245" s="22">
        <v>5</v>
      </c>
      <c r="E245" s="22" t="s">
        <v>681</v>
      </c>
      <c r="F245" s="22" t="s">
        <v>17</v>
      </c>
      <c r="G245" s="22">
        <v>1140</v>
      </c>
      <c r="H245" s="22" t="s">
        <v>18</v>
      </c>
      <c r="I245" s="22" t="s">
        <v>656</v>
      </c>
      <c r="J245" s="22" t="s">
        <v>34</v>
      </c>
      <c r="K245" s="24"/>
      <c r="L245" s="24"/>
      <c r="M245" s="22"/>
      <c r="N245" s="22"/>
      <c r="O245" s="19" t="s">
        <v>21</v>
      </c>
      <c r="P245" s="19">
        <v>14</v>
      </c>
      <c r="Q245" s="19">
        <v>-3.07604403788325</v>
      </c>
      <c r="R245" s="19">
        <v>0.213241844057408</v>
      </c>
      <c r="S245" s="19" t="s">
        <v>720</v>
      </c>
      <c r="T245" s="19" t="s">
        <v>720</v>
      </c>
      <c r="U245" s="19" t="s">
        <v>720</v>
      </c>
      <c r="W245" s="30" t="s">
        <v>707</v>
      </c>
    </row>
    <row r="246" spans="1:23" s="23" customFormat="1" ht="38.25">
      <c r="A246" s="1" t="s">
        <v>708</v>
      </c>
      <c r="B246" s="33" t="s">
        <v>957</v>
      </c>
      <c r="C246" s="21">
        <v>100</v>
      </c>
      <c r="D246" s="22">
        <v>4</v>
      </c>
      <c r="E246" s="22" t="s">
        <v>709</v>
      </c>
      <c r="F246" s="22" t="s">
        <v>672</v>
      </c>
      <c r="G246" s="22">
        <v>2949</v>
      </c>
      <c r="H246" s="22" t="s">
        <v>25</v>
      </c>
      <c r="I246" s="22" t="s">
        <v>19</v>
      </c>
      <c r="J246" s="22">
        <v>3.665</v>
      </c>
      <c r="K246" s="22">
        <v>19</v>
      </c>
      <c r="L246" s="22">
        <f>K246/J246</f>
        <v>5.184174624829468</v>
      </c>
      <c r="M246" s="22" t="s">
        <v>30</v>
      </c>
      <c r="N246" s="22">
        <v>1</v>
      </c>
      <c r="O246" s="19" t="s">
        <v>40</v>
      </c>
      <c r="P246" s="19">
        <v>49</v>
      </c>
      <c r="Q246" s="19">
        <v>-2.38421327699003</v>
      </c>
      <c r="R246" s="19">
        <v>0.686147785146077</v>
      </c>
      <c r="S246" s="19">
        <v>0.101551975707429</v>
      </c>
      <c r="T246" s="19">
        <v>0.00021942135681026</v>
      </c>
      <c r="U246" s="19">
        <v>22.3178464472723</v>
      </c>
      <c r="W246" s="23" t="s">
        <v>710</v>
      </c>
    </row>
    <row r="247" spans="1:23" s="23" customFormat="1" ht="51">
      <c r="A247" s="20" t="s">
        <v>711</v>
      </c>
      <c r="B247" s="34" t="s">
        <v>958</v>
      </c>
      <c r="C247" s="21">
        <v>100</v>
      </c>
      <c r="D247" s="22">
        <v>1</v>
      </c>
      <c r="E247" s="22" t="s">
        <v>428</v>
      </c>
      <c r="F247" s="22" t="s">
        <v>429</v>
      </c>
      <c r="G247" s="22">
        <v>2976</v>
      </c>
      <c r="H247" s="22" t="s">
        <v>25</v>
      </c>
      <c r="I247" s="22" t="s">
        <v>19</v>
      </c>
      <c r="J247" s="22">
        <v>0.388</v>
      </c>
      <c r="K247" s="22">
        <v>0.005</v>
      </c>
      <c r="L247" s="22">
        <f>K247/J247</f>
        <v>0.01288659793814433</v>
      </c>
      <c r="M247" s="22" t="s">
        <v>20</v>
      </c>
      <c r="N247" s="22"/>
      <c r="O247" s="19" t="s">
        <v>125</v>
      </c>
      <c r="P247" s="19">
        <v>14</v>
      </c>
      <c r="Q247" s="19">
        <v>-1.14655300695138</v>
      </c>
      <c r="R247" s="19">
        <v>0.460339868484028</v>
      </c>
      <c r="S247" s="19" t="s">
        <v>720</v>
      </c>
      <c r="T247" s="19" t="s">
        <v>720</v>
      </c>
      <c r="U247" s="19" t="s">
        <v>720</v>
      </c>
      <c r="W247" s="23" t="s">
        <v>712</v>
      </c>
    </row>
    <row r="248" spans="1:23" s="18" customFormat="1" ht="12.75">
      <c r="A248" s="20"/>
      <c r="B248" s="1"/>
      <c r="C248" s="21"/>
      <c r="D248" s="22"/>
      <c r="E248" s="22"/>
      <c r="F248" s="22"/>
      <c r="G248" s="22"/>
      <c r="H248" s="22"/>
      <c r="I248" s="22"/>
      <c r="J248" s="22"/>
      <c r="K248" s="22"/>
      <c r="L248" s="22"/>
      <c r="M248" s="22"/>
      <c r="N248" s="22"/>
      <c r="O248" s="29"/>
      <c r="W248" s="23"/>
    </row>
    <row r="249" spans="1:23" s="18" customFormat="1" ht="12.75">
      <c r="A249" s="20"/>
      <c r="B249" s="1"/>
      <c r="C249" s="21"/>
      <c r="D249" s="22"/>
      <c r="E249" s="22"/>
      <c r="F249" s="22"/>
      <c r="G249" s="22"/>
      <c r="H249" s="22"/>
      <c r="I249" s="22"/>
      <c r="J249" s="22"/>
      <c r="K249" s="22"/>
      <c r="L249" s="22"/>
      <c r="M249" s="22"/>
      <c r="N249" s="22"/>
      <c r="O249" s="29"/>
      <c r="W249" s="23"/>
    </row>
    <row r="250" spans="1:23" s="18" customFormat="1" ht="12.75">
      <c r="A250" s="20"/>
      <c r="B250" s="1"/>
      <c r="C250" s="21"/>
      <c r="D250" s="22"/>
      <c r="E250" s="22"/>
      <c r="F250" s="22"/>
      <c r="G250" s="22"/>
      <c r="H250" s="22"/>
      <c r="I250" s="22"/>
      <c r="J250" s="22"/>
      <c r="K250" s="22"/>
      <c r="L250" s="22"/>
      <c r="M250" s="22"/>
      <c r="N250" s="22"/>
      <c r="O250" s="29"/>
      <c r="W250" s="23"/>
    </row>
    <row r="251" spans="1:23" s="18" customFormat="1" ht="12.75">
      <c r="A251" s="20"/>
      <c r="B251" s="1"/>
      <c r="C251" s="21"/>
      <c r="D251" s="22"/>
      <c r="E251" s="22"/>
      <c r="F251" s="22"/>
      <c r="G251" s="22"/>
      <c r="H251" s="22"/>
      <c r="I251" s="22"/>
      <c r="J251" s="22"/>
      <c r="K251" s="22"/>
      <c r="L251" s="22"/>
      <c r="M251" s="22"/>
      <c r="N251" s="22"/>
      <c r="O251" s="29"/>
      <c r="W251" s="23"/>
    </row>
    <row r="252" spans="1:23" s="8" customFormat="1" ht="12.75">
      <c r="A252" s="20"/>
      <c r="B252" s="1"/>
      <c r="C252" s="21"/>
      <c r="D252" s="22"/>
      <c r="E252" s="22"/>
      <c r="F252" s="22"/>
      <c r="G252" s="22"/>
      <c r="H252" s="22"/>
      <c r="I252" s="22"/>
      <c r="J252" s="22"/>
      <c r="K252" s="22"/>
      <c r="L252" s="22"/>
      <c r="M252" s="22"/>
      <c r="N252" s="22"/>
      <c r="O252" s="29"/>
      <c r="W252" s="23"/>
    </row>
    <row r="256" spans="1:14" s="18" customFormat="1" ht="12.75">
      <c r="A256" s="31"/>
      <c r="B256" s="31"/>
      <c r="C256" s="21"/>
      <c r="D256" s="31"/>
      <c r="E256" s="22"/>
      <c r="F256" s="22"/>
      <c r="G256" s="31"/>
      <c r="H256" s="31"/>
      <c r="I256" s="22"/>
      <c r="J256" s="31"/>
      <c r="K256" s="31"/>
      <c r="L256" s="31"/>
      <c r="M256" s="31"/>
      <c r="N256" s="31"/>
    </row>
    <row r="257" spans="1:23" s="18" customFormat="1" ht="12.75">
      <c r="A257" s="6"/>
      <c r="B257" s="1"/>
      <c r="C257" s="21"/>
      <c r="D257" s="3"/>
      <c r="E257" s="3"/>
      <c r="F257" s="3"/>
      <c r="G257" s="3"/>
      <c r="H257" s="3"/>
      <c r="I257" s="22"/>
      <c r="J257" s="3"/>
      <c r="K257" s="3"/>
      <c r="L257" s="3"/>
      <c r="M257" s="3"/>
      <c r="N257" s="22"/>
      <c r="O257" s="2"/>
      <c r="W257" s="23"/>
    </row>
    <row r="263" spans="1:23" s="18" customFormat="1" ht="12.75">
      <c r="A263" s="20"/>
      <c r="B263" s="31"/>
      <c r="C263" s="21"/>
      <c r="D263" s="31"/>
      <c r="E263" s="22"/>
      <c r="F263" s="22"/>
      <c r="G263" s="31"/>
      <c r="H263" s="31"/>
      <c r="I263" s="22"/>
      <c r="J263" s="22"/>
      <c r="K263" s="22"/>
      <c r="L263" s="22"/>
      <c r="M263" s="22"/>
      <c r="N263" s="22"/>
      <c r="O263" s="19"/>
      <c r="W263" s="23"/>
    </row>
    <row r="264" ht="12.75">
      <c r="A264" s="22"/>
    </row>
    <row r="265" ht="12.75">
      <c r="A265" s="22"/>
    </row>
    <row r="266" ht="12.75">
      <c r="A266" s="22"/>
    </row>
    <row r="267" spans="1:15" ht="12.75">
      <c r="A267" s="22"/>
      <c r="O267" s="19"/>
    </row>
    <row r="270" ht="12.75">
      <c r="I270" s="3"/>
    </row>
    <row r="271" ht="12.75">
      <c r="I271" s="3"/>
    </row>
    <row r="278" ht="12.75">
      <c r="I278" s="3"/>
    </row>
    <row r="281" ht="12.75">
      <c r="I281" s="3"/>
    </row>
    <row r="298" ht="12.75">
      <c r="I298" s="27"/>
    </row>
    <row r="299" ht="12.75">
      <c r="I299" s="27"/>
    </row>
    <row r="309" ht="12.75">
      <c r="I309" s="27"/>
    </row>
    <row r="330" ht="12.75">
      <c r="I330" s="27"/>
    </row>
    <row r="649" ht="12.75">
      <c r="I649" s="22" t="s">
        <v>19</v>
      </c>
    </row>
    <row r="650" ht="12.75">
      <c r="I650" s="22" t="s">
        <v>19</v>
      </c>
    </row>
    <row r="651" ht="12.75">
      <c r="I651" s="22" t="s">
        <v>116</v>
      </c>
    </row>
    <row r="652" ht="12.75">
      <c r="I652" s="22" t="s">
        <v>693</v>
      </c>
    </row>
    <row r="653" ht="12.75">
      <c r="I653" s="7"/>
    </row>
    <row r="654" ht="12.75">
      <c r="I654" s="22" t="s">
        <v>19</v>
      </c>
    </row>
    <row r="655" ht="12.75">
      <c r="I655" s="22" t="s">
        <v>713</v>
      </c>
    </row>
    <row r="657" ht="12.75">
      <c r="I657" s="22" t="s">
        <v>677</v>
      </c>
    </row>
    <row r="659" ht="12.75">
      <c r="I659" s="22" t="s">
        <v>155</v>
      </c>
    </row>
    <row r="660" ht="12.75">
      <c r="I660" s="22" t="s">
        <v>247</v>
      </c>
    </row>
    <row r="661" ht="12.75">
      <c r="I661" s="22" t="s">
        <v>677</v>
      </c>
    </row>
    <row r="662" ht="12.75">
      <c r="I662" s="22" t="s">
        <v>714</v>
      </c>
    </row>
    <row r="663" ht="12.75">
      <c r="I663" s="22" t="s">
        <v>666</v>
      </c>
    </row>
    <row r="664" ht="12.75">
      <c r="I664" s="22" t="s">
        <v>715</v>
      </c>
    </row>
    <row r="665" ht="12.75">
      <c r="I665" s="22" t="s">
        <v>656</v>
      </c>
    </row>
    <row r="667" ht="12.75">
      <c r="I667" s="22" t="s">
        <v>663</v>
      </c>
    </row>
    <row r="668" ht="12.75">
      <c r="I668" s="22" t="s">
        <v>682</v>
      </c>
    </row>
    <row r="669" ht="12.75">
      <c r="I669" s="22" t="s">
        <v>677</v>
      </c>
    </row>
    <row r="670" ht="12.75">
      <c r="I670" s="22" t="s">
        <v>155</v>
      </c>
    </row>
    <row r="671" ht="12.75">
      <c r="I671" s="22" t="s">
        <v>677</v>
      </c>
    </row>
    <row r="672" ht="12.75">
      <c r="I672" s="22" t="s">
        <v>656</v>
      </c>
    </row>
    <row r="673" ht="12.75">
      <c r="I673" s="22" t="s">
        <v>659</v>
      </c>
    </row>
    <row r="674" ht="12.75">
      <c r="I674" s="22" t="s">
        <v>656</v>
      </c>
    </row>
    <row r="675" ht="12.75">
      <c r="I675" s="22" t="s">
        <v>155</v>
      </c>
    </row>
    <row r="676" ht="12.75">
      <c r="I676" s="22" t="s">
        <v>673</v>
      </c>
    </row>
    <row r="677" ht="12.75">
      <c r="I677" s="22" t="s">
        <v>701</v>
      </c>
    </row>
    <row r="678" ht="12.75">
      <c r="I678" s="22" t="s">
        <v>704</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Mark McPeek</dc:creator>
  <cp:keywords/>
  <dc:description/>
  <cp:lastModifiedBy> Mark McPeek</cp:lastModifiedBy>
  <dcterms:created xsi:type="dcterms:W3CDTF">2008-07-09T10:09:21Z</dcterms:created>
  <dcterms:modified xsi:type="dcterms:W3CDTF">2008-07-15T16:37:14Z</dcterms:modified>
  <cp:category/>
  <cp:version/>
  <cp:contentType/>
  <cp:contentStatus/>
</cp:coreProperties>
</file>